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ЛОЛА\LOLA System\LOLA_Track\LT_Child_Dev\"/>
    </mc:Choice>
  </mc:AlternateContent>
  <xr:revisionPtr revIDLastSave="0" documentId="13_ncr:1_{0442AB44-376E-48BE-B5F7-336B3A71C930}" xr6:coauthVersionLast="47" xr6:coauthVersionMax="47" xr10:uidLastSave="{00000000-0000-0000-0000-000000000000}"/>
  <bookViews>
    <workbookView xWindow="-110" yWindow="-110" windowWidth="19420" windowHeight="10300" tabRatio="500" firstSheet="6" activeTab="6" xr2:uid="{00000000-000D-0000-FFFF-FFFF00000000}"/>
  </bookViews>
  <sheets>
    <sheet name="БАСТАУ" sheetId="1" r:id="rId1"/>
    <sheet name="НҰСҚАУЛЫҚ" sheetId="2" r:id="rId2"/>
    <sheet name="ПАСПОРТ" sheetId="3" r:id="rId3"/>
    <sheet name="0-1" sheetId="4" r:id="rId4"/>
    <sheet name="Даму профилі" sheetId="5" r:id="rId5"/>
    <sheet name="НӘТИЖЕЛЕР" sheetId="6" r:id="rId6"/>
    <sheet name="ҚОРЫТЫНДЫ" sheetId="7" r:id="rId7"/>
    <sheet name="ДАМУ ЖОСПАРЫ" sheetId="8" r:id="rId8"/>
    <sheet name="БАЗА" sheetId="9" state="hidden" r:id="rId9"/>
    <sheet name="профиль" sheetId="10" state="hidden" r:id="rId10"/>
    <sheet name="ЖАТТЫҒУЛАР" sheetId="11" state="hidden" r:id="rId11"/>
    <sheet name="ҰСЫНЫМДАР" sheetId="12" state="hidden" r:id="rId12"/>
    <sheet name="МАМАНДАР" sheetId="13" state="hidden" r:id="rId13"/>
    <sheet name="НЕЙРОФУНКЦИЯЛАР" sheetId="14" state="hidden" r:id="rId14"/>
    <sheet name="СЕНСОРИКА" sheetId="15" state="hidden" r:id="rId15"/>
    <sheet name="СЕБЕПТЕР" sheetId="16" state="hidden" r:id="rId16"/>
  </sheets>
  <definedNames>
    <definedName name="_GoBack" localSheetId="10">ЖАТТЫҒУЛАР!$A$1</definedName>
    <definedName name="Физика">профиль!$A$2:$B$8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0" l="1"/>
  <c r="H8" i="10"/>
  <c r="C8" i="10"/>
  <c r="I7" i="10"/>
  <c r="H7" i="10"/>
  <c r="I6" i="10"/>
  <c r="H6" i="10"/>
  <c r="I5" i="10"/>
  <c r="H5" i="10"/>
  <c r="I4" i="10"/>
  <c r="H4" i="10"/>
  <c r="I3" i="10"/>
  <c r="H3" i="10"/>
  <c r="I2" i="10"/>
  <c r="H2" i="10"/>
  <c r="D59" i="9"/>
  <c r="A59" i="9"/>
  <c r="D58" i="9"/>
  <c r="A58" i="9"/>
  <c r="D57" i="9"/>
  <c r="A57" i="9"/>
  <c r="D56" i="9"/>
  <c r="A56" i="9"/>
  <c r="D55" i="9"/>
  <c r="A55" i="9"/>
  <c r="D54" i="9"/>
  <c r="C54" i="9"/>
  <c r="B54" i="9"/>
  <c r="A54" i="9"/>
  <c r="D53" i="9"/>
  <c r="A53" i="9"/>
  <c r="D52" i="9"/>
  <c r="A52" i="9"/>
  <c r="D51" i="9"/>
  <c r="A51" i="9"/>
  <c r="D50" i="9"/>
  <c r="A50" i="9"/>
  <c r="D49" i="9"/>
  <c r="A49" i="9"/>
  <c r="D48" i="9"/>
  <c r="A48" i="9"/>
  <c r="D47" i="9"/>
  <c r="C47" i="9"/>
  <c r="B47" i="9"/>
  <c r="A47" i="9"/>
  <c r="D46" i="9"/>
  <c r="A46" i="9"/>
  <c r="D45" i="9"/>
  <c r="A45" i="9"/>
  <c r="D44" i="9"/>
  <c r="A44" i="9"/>
  <c r="D43" i="9"/>
  <c r="A43" i="9"/>
  <c r="D42" i="9"/>
  <c r="A42" i="9"/>
  <c r="D41" i="9"/>
  <c r="C41" i="9"/>
  <c r="B41" i="9"/>
  <c r="A41" i="9"/>
  <c r="D40" i="9"/>
  <c r="A40" i="9"/>
  <c r="D39" i="9"/>
  <c r="A39" i="9"/>
  <c r="D38" i="9"/>
  <c r="A38" i="9"/>
  <c r="D37" i="9"/>
  <c r="A37" i="9"/>
  <c r="D36" i="9"/>
  <c r="A36" i="9"/>
  <c r="D35" i="9"/>
  <c r="A35" i="9"/>
  <c r="D34" i="9"/>
  <c r="A34" i="9"/>
  <c r="D33" i="9"/>
  <c r="A33" i="9"/>
  <c r="D32" i="9"/>
  <c r="C32" i="9"/>
  <c r="B32" i="9"/>
  <c r="A32" i="9"/>
  <c r="D31" i="9"/>
  <c r="A31" i="9"/>
  <c r="D30" i="9"/>
  <c r="A30" i="9"/>
  <c r="D29" i="9"/>
  <c r="A29" i="9"/>
  <c r="D28" i="9"/>
  <c r="A28" i="9"/>
  <c r="D27" i="9"/>
  <c r="A27" i="9"/>
  <c r="D26" i="9"/>
  <c r="A26" i="9"/>
  <c r="D25" i="9"/>
  <c r="A25" i="9"/>
  <c r="D24" i="9"/>
  <c r="C24" i="9"/>
  <c r="B24" i="9"/>
  <c r="A24" i="9"/>
  <c r="D23" i="9"/>
  <c r="A23" i="9"/>
  <c r="D22" i="9"/>
  <c r="A22" i="9"/>
  <c r="D21" i="9"/>
  <c r="A21" i="9"/>
  <c r="D20" i="9"/>
  <c r="A20" i="9"/>
  <c r="D19" i="9"/>
  <c r="A19" i="9"/>
  <c r="D18" i="9"/>
  <c r="A18" i="9"/>
  <c r="D17" i="9"/>
  <c r="A17" i="9"/>
  <c r="D16" i="9"/>
  <c r="A16" i="9"/>
  <c r="D15" i="9"/>
  <c r="C15" i="9"/>
  <c r="B15" i="9"/>
  <c r="A15" i="9"/>
  <c r="D14" i="9"/>
  <c r="A14" i="9"/>
  <c r="D13" i="9"/>
  <c r="A13" i="9"/>
  <c r="D12" i="9"/>
  <c r="A12" i="9"/>
  <c r="D11" i="9"/>
  <c r="A11" i="9"/>
  <c r="D10" i="9"/>
  <c r="A10" i="9"/>
  <c r="D9" i="9"/>
  <c r="A9" i="9"/>
  <c r="D8" i="9"/>
  <c r="A8" i="9"/>
  <c r="D7" i="9"/>
  <c r="A7" i="9"/>
  <c r="D6" i="9"/>
  <c r="A6" i="9"/>
  <c r="D5" i="9"/>
  <c r="A5" i="9"/>
  <c r="D4" i="9"/>
  <c r="A4" i="9"/>
  <c r="D3" i="9"/>
  <c r="A3" i="9"/>
  <c r="D2" i="9"/>
  <c r="A2" i="9"/>
  <c r="A7" i="8"/>
  <c r="D5" i="8"/>
  <c r="D4" i="8"/>
  <c r="D3" i="8"/>
  <c r="A25" i="7"/>
  <c r="A24" i="7"/>
  <c r="A23" i="7"/>
  <c r="A22" i="7"/>
  <c r="A21" i="7"/>
  <c r="A20" i="7"/>
  <c r="A19" i="7"/>
  <c r="B6" i="7"/>
  <c r="B4" i="7"/>
  <c r="B3" i="7"/>
  <c r="A40" i="6"/>
  <c r="A39" i="6"/>
  <c r="A38" i="6"/>
  <c r="A37" i="6"/>
  <c r="A36" i="6"/>
  <c r="A35" i="6"/>
  <c r="A34" i="6"/>
  <c r="B7" i="6"/>
  <c r="B6" i="6"/>
  <c r="B3" i="6"/>
  <c r="G67" i="4"/>
  <c r="B59" i="9" s="1"/>
  <c r="E67" i="4"/>
  <c r="F67" i="4" s="1"/>
  <c r="C59" i="9" s="1"/>
  <c r="G66" i="4"/>
  <c r="B58" i="9" s="1"/>
  <c r="F66" i="4"/>
  <c r="C58" i="9" s="1"/>
  <c r="E66" i="4"/>
  <c r="G65" i="4"/>
  <c r="B57" i="9" s="1"/>
  <c r="E65" i="4"/>
  <c r="F65" i="4" s="1"/>
  <c r="C57" i="9" s="1"/>
  <c r="G64" i="4"/>
  <c r="B56" i="9" s="1"/>
  <c r="F64" i="4"/>
  <c r="C56" i="9" s="1"/>
  <c r="E64" i="4"/>
  <c r="G63" i="4"/>
  <c r="B55" i="9" s="1"/>
  <c r="E63" i="4"/>
  <c r="F63" i="4" s="1"/>
  <c r="C55" i="9" s="1"/>
  <c r="G61" i="4"/>
  <c r="B53" i="9" s="1"/>
  <c r="F61" i="4"/>
  <c r="C53" i="9" s="1"/>
  <c r="E61" i="4"/>
  <c r="G60" i="4"/>
  <c r="B52" i="9" s="1"/>
  <c r="E60" i="4"/>
  <c r="F60" i="4" s="1"/>
  <c r="C52" i="9" s="1"/>
  <c r="G59" i="4"/>
  <c r="B51" i="9" s="1"/>
  <c r="F59" i="4"/>
  <c r="C51" i="9" s="1"/>
  <c r="E59" i="4"/>
  <c r="G58" i="4"/>
  <c r="B50" i="9" s="1"/>
  <c r="E58" i="4"/>
  <c r="F58" i="4" s="1"/>
  <c r="C50" i="9" s="1"/>
  <c r="G57" i="4"/>
  <c r="B49" i="9" s="1"/>
  <c r="F57" i="4"/>
  <c r="C49" i="9" s="1"/>
  <c r="E57" i="4"/>
  <c r="G56" i="4"/>
  <c r="B48" i="9" s="1"/>
  <c r="E56" i="4"/>
  <c r="F56" i="4" s="1"/>
  <c r="C48" i="9" s="1"/>
  <c r="G54" i="4"/>
  <c r="B46" i="9" s="1"/>
  <c r="F54" i="4"/>
  <c r="C46" i="9" s="1"/>
  <c r="E54" i="4"/>
  <c r="G53" i="4"/>
  <c r="B45" i="9" s="1"/>
  <c r="E53" i="4"/>
  <c r="F53" i="4" s="1"/>
  <c r="C45" i="9" s="1"/>
  <c r="G52" i="4"/>
  <c r="B44" i="9" s="1"/>
  <c r="F52" i="4"/>
  <c r="C44" i="9" s="1"/>
  <c r="E52" i="4"/>
  <c r="G51" i="4"/>
  <c r="B43" i="9" s="1"/>
  <c r="E51" i="4"/>
  <c r="F51" i="4" s="1"/>
  <c r="C43" i="9" s="1"/>
  <c r="G50" i="4"/>
  <c r="B42" i="9" s="1"/>
  <c r="F50" i="4"/>
  <c r="C42" i="9" s="1"/>
  <c r="E50" i="4"/>
  <c r="G48" i="4"/>
  <c r="B40" i="9" s="1"/>
  <c r="E48" i="4"/>
  <c r="F48" i="4" s="1"/>
  <c r="C40" i="9" s="1"/>
  <c r="G47" i="4"/>
  <c r="B39" i="9" s="1"/>
  <c r="F47" i="4"/>
  <c r="C39" i="9" s="1"/>
  <c r="E47" i="4"/>
  <c r="G46" i="4"/>
  <c r="B38" i="9" s="1"/>
  <c r="E46" i="4"/>
  <c r="F46" i="4" s="1"/>
  <c r="C38" i="9" s="1"/>
  <c r="G45" i="4"/>
  <c r="B37" i="9" s="1"/>
  <c r="F45" i="4"/>
  <c r="C37" i="9" s="1"/>
  <c r="E45" i="4"/>
  <c r="G44" i="4"/>
  <c r="B36" i="9" s="1"/>
  <c r="E44" i="4"/>
  <c r="F44" i="4" s="1"/>
  <c r="C36" i="9" s="1"/>
  <c r="G43" i="4"/>
  <c r="B35" i="9" s="1"/>
  <c r="F43" i="4"/>
  <c r="C35" i="9" s="1"/>
  <c r="E43" i="4"/>
  <c r="G42" i="4"/>
  <c r="B34" i="9" s="1"/>
  <c r="E42" i="4"/>
  <c r="F42" i="4" s="1"/>
  <c r="C34" i="9" s="1"/>
  <c r="G41" i="4"/>
  <c r="B33" i="9" s="1"/>
  <c r="F41" i="4"/>
  <c r="C33" i="9" s="1"/>
  <c r="E41" i="4"/>
  <c r="G39" i="4"/>
  <c r="B31" i="9" s="1"/>
  <c r="E39" i="4"/>
  <c r="F39" i="4" s="1"/>
  <c r="C31" i="9" s="1"/>
  <c r="G38" i="4"/>
  <c r="B30" i="9" s="1"/>
  <c r="F38" i="4"/>
  <c r="C30" i="9" s="1"/>
  <c r="E38" i="4"/>
  <c r="G37" i="4"/>
  <c r="B29" i="9" s="1"/>
  <c r="E37" i="4"/>
  <c r="F37" i="4" s="1"/>
  <c r="C29" i="9" s="1"/>
  <c r="G36" i="4"/>
  <c r="B28" i="9" s="1"/>
  <c r="F36" i="4"/>
  <c r="C28" i="9" s="1"/>
  <c r="E36" i="4"/>
  <c r="G35" i="4"/>
  <c r="B27" i="9" s="1"/>
  <c r="E35" i="4"/>
  <c r="F35" i="4" s="1"/>
  <c r="C27" i="9" s="1"/>
  <c r="G34" i="4"/>
  <c r="B26" i="9" s="1"/>
  <c r="F34" i="4"/>
  <c r="C26" i="9" s="1"/>
  <c r="E34" i="4"/>
  <c r="G33" i="4"/>
  <c r="B25" i="9" s="1"/>
  <c r="E33" i="4"/>
  <c r="F33" i="4" s="1"/>
  <c r="C25" i="9" s="1"/>
  <c r="G31" i="4"/>
  <c r="B23" i="9" s="1"/>
  <c r="F31" i="4"/>
  <c r="C23" i="9" s="1"/>
  <c r="E31" i="4"/>
  <c r="G30" i="4"/>
  <c r="B22" i="9" s="1"/>
  <c r="E30" i="4"/>
  <c r="F30" i="4" s="1"/>
  <c r="C22" i="9" s="1"/>
  <c r="G29" i="4"/>
  <c r="B21" i="9" s="1"/>
  <c r="F29" i="4"/>
  <c r="C21" i="9" s="1"/>
  <c r="E29" i="4"/>
  <c r="G28" i="4"/>
  <c r="B20" i="9" s="1"/>
  <c r="E28" i="4"/>
  <c r="F28" i="4" s="1"/>
  <c r="C20" i="9" s="1"/>
  <c r="G27" i="4"/>
  <c r="B19" i="9" s="1"/>
  <c r="F27" i="4"/>
  <c r="C19" i="9" s="1"/>
  <c r="E27" i="4"/>
  <c r="G26" i="4"/>
  <c r="B18" i="9" s="1"/>
  <c r="E26" i="4"/>
  <c r="F26" i="4" s="1"/>
  <c r="C18" i="9" s="1"/>
  <c r="G25" i="4"/>
  <c r="B17" i="9" s="1"/>
  <c r="F25" i="4"/>
  <c r="C17" i="9" s="1"/>
  <c r="E25" i="4"/>
  <c r="G24" i="4"/>
  <c r="B16" i="9" s="1"/>
  <c r="E24" i="4"/>
  <c r="F24" i="4" s="1"/>
  <c r="C16" i="9" s="1"/>
  <c r="B3" i="10" s="1"/>
  <c r="G22" i="4"/>
  <c r="B14" i="9" s="1"/>
  <c r="F22" i="4"/>
  <c r="C14" i="9" s="1"/>
  <c r="E22" i="4"/>
  <c r="G21" i="4"/>
  <c r="B13" i="9" s="1"/>
  <c r="E21" i="4"/>
  <c r="F21" i="4" s="1"/>
  <c r="C13" i="9" s="1"/>
  <c r="G20" i="4"/>
  <c r="B12" i="9" s="1"/>
  <c r="F20" i="4"/>
  <c r="C12" i="9" s="1"/>
  <c r="E20" i="4"/>
  <c r="G19" i="4"/>
  <c r="B11" i="9" s="1"/>
  <c r="E19" i="4"/>
  <c r="F19" i="4" s="1"/>
  <c r="C11" i="9" s="1"/>
  <c r="G18" i="4"/>
  <c r="B10" i="9" s="1"/>
  <c r="F18" i="4"/>
  <c r="C10" i="9" s="1"/>
  <c r="E18" i="4"/>
  <c r="G17" i="4"/>
  <c r="B9" i="9" s="1"/>
  <c r="E17" i="4"/>
  <c r="F17" i="4" s="1"/>
  <c r="C9" i="9" s="1"/>
  <c r="G16" i="4"/>
  <c r="B8" i="9" s="1"/>
  <c r="F16" i="4"/>
  <c r="C8" i="9" s="1"/>
  <c r="E16" i="4"/>
  <c r="G15" i="4"/>
  <c r="B7" i="9" s="1"/>
  <c r="E15" i="4"/>
  <c r="F15" i="4" s="1"/>
  <c r="C7" i="9" s="1"/>
  <c r="G14" i="4"/>
  <c r="B6" i="9" s="1"/>
  <c r="F14" i="4"/>
  <c r="C6" i="9" s="1"/>
  <c r="E14" i="4"/>
  <c r="G13" i="4"/>
  <c r="B5" i="9" s="1"/>
  <c r="E13" i="4"/>
  <c r="F13" i="4" s="1"/>
  <c r="C5" i="9" s="1"/>
  <c r="G12" i="4"/>
  <c r="B4" i="9" s="1"/>
  <c r="F12" i="4"/>
  <c r="C4" i="9" s="1"/>
  <c r="E12" i="4"/>
  <c r="G11" i="4"/>
  <c r="B3" i="9" s="1"/>
  <c r="E11" i="4"/>
  <c r="F11" i="4" s="1"/>
  <c r="C3" i="9" s="1"/>
  <c r="G10" i="4"/>
  <c r="B2" i="9" s="1"/>
  <c r="F10" i="4"/>
  <c r="C2" i="9" s="1"/>
  <c r="E10" i="4"/>
  <c r="B5" i="3"/>
  <c r="B5" i="7" s="1"/>
  <c r="A13" i="2"/>
  <c r="C3" i="10" l="1"/>
  <c r="B4" i="6"/>
  <c r="D8" i="10"/>
  <c r="D7" i="10"/>
  <c r="D5" i="10"/>
  <c r="D3" i="10"/>
  <c r="G3" i="10" s="1"/>
  <c r="D6" i="10"/>
  <c r="D4" i="10"/>
  <c r="D2" i="10"/>
  <c r="B5" i="10"/>
  <c r="B6" i="10"/>
  <c r="B7" i="10"/>
  <c r="B2" i="10"/>
  <c r="B4" i="10"/>
  <c r="G4" i="10" l="1"/>
  <c r="E4" i="10"/>
  <c r="C4" i="10"/>
  <c r="E9" i="10"/>
  <c r="B9" i="10"/>
  <c r="E3" i="10"/>
  <c r="G2" i="10"/>
  <c r="E2" i="10"/>
  <c r="C2" i="10"/>
  <c r="G9" i="10"/>
  <c r="F4" i="10"/>
  <c r="F2" i="10"/>
  <c r="G6" i="10"/>
  <c r="E6" i="10"/>
  <c r="C6" i="10"/>
  <c r="F6" i="10"/>
  <c r="F8" i="10"/>
  <c r="G8" i="10"/>
  <c r="E8" i="10"/>
  <c r="G7" i="10"/>
  <c r="E7" i="10"/>
  <c r="C7" i="10"/>
  <c r="F7" i="10"/>
  <c r="G5" i="10"/>
  <c r="E5" i="10"/>
  <c r="C5" i="10"/>
  <c r="F5" i="10"/>
  <c r="F3" i="10"/>
  <c r="B26" i="10" l="1"/>
  <c r="B27" i="10" s="1"/>
  <c r="K2" i="10"/>
  <c r="B19" i="7" s="1"/>
  <c r="J3" i="10"/>
  <c r="C20" i="7"/>
  <c r="L3" i="10"/>
  <c r="D13" i="2"/>
  <c r="M6" i="10"/>
  <c r="B38" i="6" s="1"/>
  <c r="K6" i="10"/>
  <c r="B23" i="7" s="1"/>
  <c r="M4" i="10"/>
  <c r="B36" i="6" s="1"/>
  <c r="B6" i="16"/>
  <c r="C6" i="16" s="1"/>
  <c r="C6" i="14"/>
  <c r="D6" i="14" s="1"/>
  <c r="L6" i="10"/>
  <c r="C4" i="15"/>
  <c r="D4" i="15" s="1"/>
  <c r="J6" i="10"/>
  <c r="C23" i="7"/>
  <c r="G13" i="2"/>
  <c r="B43" i="10"/>
  <c r="B28" i="10"/>
  <c r="B29" i="10" s="1"/>
  <c r="B30" i="7" s="1"/>
  <c r="B25" i="10"/>
  <c r="C25" i="10" s="1"/>
  <c r="B23" i="10"/>
  <c r="B24" i="10" s="1"/>
  <c r="B12" i="10"/>
  <c r="E4" i="6" s="1"/>
  <c r="B2" i="16"/>
  <c r="C5" i="15"/>
  <c r="D5" i="15" s="1"/>
  <c r="C2" i="14"/>
  <c r="B44" i="10"/>
  <c r="B13" i="10"/>
  <c r="L10" i="10" s="1"/>
  <c r="L2" i="10"/>
  <c r="C6" i="15"/>
  <c r="D6" i="15" s="1"/>
  <c r="C3" i="14"/>
  <c r="D3" i="14" s="1"/>
  <c r="B15" i="10"/>
  <c r="B11" i="10"/>
  <c r="J2" i="10"/>
  <c r="C19" i="7"/>
  <c r="C13" i="2"/>
  <c r="B21" i="10"/>
  <c r="K9" i="10"/>
  <c r="M5" i="10"/>
  <c r="B37" i="6" s="1"/>
  <c r="K5" i="10"/>
  <c r="B22" i="7" s="1"/>
  <c r="M3" i="10"/>
  <c r="B35" i="6" s="1"/>
  <c r="C4" i="14"/>
  <c r="D4" i="14" s="1"/>
  <c r="J5" i="10"/>
  <c r="C22" i="7"/>
  <c r="B5" i="16"/>
  <c r="C5" i="16" s="1"/>
  <c r="C2" i="15"/>
  <c r="L5" i="10"/>
  <c r="F13" i="2"/>
  <c r="M7" i="10"/>
  <c r="B39" i="6" s="1"/>
  <c r="K7" i="10"/>
  <c r="B24" i="7" s="1"/>
  <c r="J7" i="10"/>
  <c r="C24" i="7"/>
  <c r="L7" i="10"/>
  <c r="H13" i="2"/>
  <c r="L8" i="10"/>
  <c r="J8" i="10"/>
  <c r="C7" i="15"/>
  <c r="D7" i="15" s="1"/>
  <c r="M8" i="10"/>
  <c r="B40" i="6" s="1"/>
  <c r="B7" i="16"/>
  <c r="C7" i="16" s="1"/>
  <c r="C7" i="14"/>
  <c r="D7" i="14" s="1"/>
  <c r="K8" i="10"/>
  <c r="B25" i="7" s="1"/>
  <c r="C25" i="7"/>
  <c r="I13" i="2"/>
  <c r="K4" i="10"/>
  <c r="B21" i="7" s="1"/>
  <c r="K3" i="10"/>
  <c r="B20" i="7" s="1"/>
  <c r="M2" i="10"/>
  <c r="B34" i="6" s="1"/>
  <c r="B4" i="16"/>
  <c r="C4" i="16" s="1"/>
  <c r="C3" i="15"/>
  <c r="D3" i="15" s="1"/>
  <c r="L4" i="10"/>
  <c r="C5" i="14"/>
  <c r="D5" i="14" s="1"/>
  <c r="J4" i="10"/>
  <c r="C21" i="7"/>
  <c r="E13" i="2"/>
  <c r="C9" i="10"/>
  <c r="B14" i="10"/>
  <c r="K10" i="10" s="1"/>
  <c r="B9" i="6" s="1"/>
  <c r="D2" i="15" l="1"/>
  <c r="C9" i="15"/>
  <c r="B10" i="7"/>
  <c r="E8" i="6"/>
  <c r="B10" i="10"/>
  <c r="B32" i="10"/>
  <c r="B28" i="7" s="1"/>
  <c r="B12" i="7"/>
  <c r="B33" i="10"/>
  <c r="B29" i="7" s="1"/>
  <c r="B3" i="8"/>
  <c r="D2" i="14"/>
  <c r="C9" i="14"/>
  <c r="C2" i="16"/>
  <c r="B15" i="7"/>
  <c r="E7" i="6"/>
  <c r="C21" i="10"/>
  <c r="E5" i="6" s="1"/>
  <c r="B4" i="8"/>
  <c r="B13" i="7"/>
  <c r="B16" i="10"/>
  <c r="B5" i="8"/>
  <c r="B11" i="7"/>
  <c r="E3" i="6"/>
  <c r="B18" i="10" l="1"/>
  <c r="B17" i="10"/>
  <c r="B43" i="6" s="1"/>
  <c r="B14" i="7"/>
  <c r="B42" i="6"/>
  <c r="C5" i="8"/>
  <c r="C3" i="8"/>
  <c r="D9" i="15"/>
  <c r="B3" i="16"/>
  <c r="B46" i="10"/>
  <c r="C4" i="8"/>
  <c r="D9" i="14"/>
  <c r="B45" i="10"/>
  <c r="B30" i="10"/>
  <c r="B16" i="7" s="1"/>
  <c r="B20" i="10"/>
  <c r="B46" i="6" s="1"/>
  <c r="B31" i="10"/>
  <c r="E9" i="6" s="1"/>
  <c r="B22" i="10"/>
  <c r="F5" i="8" s="1" a="1"/>
  <c r="F5" i="8" s="1"/>
  <c r="B19" i="10"/>
  <c r="B45" i="6" s="1"/>
  <c r="L9" i="10"/>
  <c r="B8" i="6"/>
  <c r="B9" i="7"/>
  <c r="B13" i="2"/>
  <c r="B16" i="2" s="1"/>
  <c r="B17" i="2" s="1"/>
  <c r="G4" i="8" l="1" a="1"/>
  <c r="G4" i="8" s="1"/>
  <c r="C3" i="16"/>
  <c r="C9" i="16" s="1"/>
  <c r="B47" i="10" s="1"/>
  <c r="C10" i="16"/>
  <c r="G3" i="8" a="1"/>
  <c r="G3" i="8" s="1"/>
  <c r="A41" i="7"/>
  <c r="E6" i="6"/>
  <c r="E5" i="8"/>
  <c r="E4" i="8"/>
  <c r="E3" i="8"/>
  <c r="C33" i="8" a="1"/>
  <c r="C33" i="8" s="1"/>
  <c r="C31" i="8" a="1"/>
  <c r="C31" i="8" s="1"/>
  <c r="C29" i="8" a="1"/>
  <c r="C29" i="8" s="1"/>
  <c r="C27" i="8" a="1"/>
  <c r="C27" i="8" s="1"/>
  <c r="C25" i="8" a="1"/>
  <c r="C25" i="8" s="1"/>
  <c r="C23" i="8" a="1"/>
  <c r="C23" i="8" s="1"/>
  <c r="C17" i="8" a="1"/>
  <c r="C17" i="8" s="1"/>
  <c r="C38" i="7" s="1"/>
  <c r="C15" i="8" a="1"/>
  <c r="C15" i="8" s="1"/>
  <c r="C36" i="7" s="1"/>
  <c r="C13" i="8" a="1"/>
  <c r="C13" i="8" s="1"/>
  <c r="C34" i="7" s="1"/>
  <c r="B33" i="8" a="1"/>
  <c r="B33" i="8" s="1"/>
  <c r="B31" i="8" a="1"/>
  <c r="B31" i="8" s="1"/>
  <c r="B29" i="8" a="1"/>
  <c r="B29" i="8" s="1"/>
  <c r="B27" i="8" a="1"/>
  <c r="B27" i="8" s="1"/>
  <c r="B25" i="8" a="1"/>
  <c r="B25" i="8" s="1"/>
  <c r="B23" i="8" a="1"/>
  <c r="B23" i="8" s="1"/>
  <c r="B17" i="8" a="1"/>
  <c r="B17" i="8" s="1"/>
  <c r="B38" i="7" s="1"/>
  <c r="B15" i="8" a="1"/>
  <c r="B15" i="8" s="1"/>
  <c r="B36" i="7" s="1"/>
  <c r="C32" i="8" a="1"/>
  <c r="C32" i="8" s="1"/>
  <c r="C30" i="8" a="1"/>
  <c r="C30" i="8" s="1"/>
  <c r="C28" i="8" a="1"/>
  <c r="C28" i="8" s="1"/>
  <c r="C26" i="8" a="1"/>
  <c r="C26" i="8" s="1"/>
  <c r="C24" i="8" a="1"/>
  <c r="C24" i="8" s="1"/>
  <c r="C22" i="8" a="1"/>
  <c r="C22" i="8" s="1"/>
  <c r="C16" i="8" a="1"/>
  <c r="C16" i="8" s="1"/>
  <c r="C37" i="7" s="1"/>
  <c r="C14" i="8" a="1"/>
  <c r="C14" i="8" s="1"/>
  <c r="C35" i="7" s="1"/>
  <c r="B32" i="8" a="1"/>
  <c r="B32" i="8" s="1"/>
  <c r="B30" i="8" a="1"/>
  <c r="B30" i="8" s="1"/>
  <c r="B28" i="8" a="1"/>
  <c r="B28" i="8" s="1"/>
  <c r="B26" i="8" a="1"/>
  <c r="B26" i="8" s="1"/>
  <c r="B24" i="8" a="1"/>
  <c r="B24" i="8" s="1"/>
  <c r="B22" i="8" a="1"/>
  <c r="B22" i="8" s="1"/>
  <c r="B16" i="8" a="1"/>
  <c r="B16" i="8" s="1"/>
  <c r="B37" i="7" s="1"/>
  <c r="B14" i="8" a="1"/>
  <c r="B14" i="8" s="1"/>
  <c r="B35" i="7" s="1"/>
  <c r="B13" i="8" a="1"/>
  <c r="B13" i="8" s="1"/>
  <c r="B34" i="7" s="1"/>
  <c r="F4" i="8" a="1"/>
  <c r="F4" i="8" s="1"/>
  <c r="F3" i="8" a="1"/>
  <c r="F3" i="8" s="1"/>
  <c r="G5" i="8" a="1"/>
  <c r="G5" i="8" s="1"/>
  <c r="B31" i="7"/>
  <c r="B44" i="6"/>
</calcChain>
</file>

<file path=xl/sharedStrings.xml><?xml version="1.0" encoding="utf-8"?>
<sst xmlns="http://schemas.openxmlformats.org/spreadsheetml/2006/main" count="1259" uniqueCount="720">
  <si>
    <t>LOLA  —  Баланың дамуын бағалау жүйесі 0-ден 7 жасқа дейін</t>
  </si>
  <si>
    <t xml:space="preserve">  © 2025 Rabiga Sagyndykova · LOLA SYSTEM · Барлық құқықтар қорғалған · Қайта сату тыйым салынған</t>
  </si>
  <si>
    <t>Қош келдіңіз! Төменде үш қадамды орындаңыз.</t>
  </si>
  <si>
    <t>1</t>
  </si>
  <si>
    <t>ПАСПОРТ — баланың деректерін енгізіңіз</t>
  </si>
  <si>
    <t>«ПАСПОРТ» бетіне өтіп, толтырыңыз:
  • Баланың аты
  • Туған күні
  • Бүгінгі бағалау күні
  • Режим: Нормативтік (типтік даму) немесе Терапиялық (ДМЖ)</t>
  </si>
  <si>
    <t>2</t>
  </si>
  <si>
    <t>ЧЕК-ТІЗІМДЕР — баланың дағдыларын бағалаңыз</t>
  </si>
  <si>
    <t xml:space="preserve"> Тиісті жас бетін ашыңыз (0-1, 1-2 … 6-7).
Әр дағды үшін D бағанына баға қойыңыз:
   2 — сенімді орындайды, әрдайым
   1 — ішінара немесе кейде орындайды
   0 — әлі орындамайды
H бағанында нұсқау бар — не дәл орындалды деп есептеледі.</t>
  </si>
  <si>
    <t>3</t>
  </si>
  <si>
    <t>НӘТИЖЕЛЕР — профиль мен жоспарды оқыңыз</t>
  </si>
  <si>
    <t xml:space="preserve">  Чек-тізімдерді толтырғаннан кейін барлығы автоматты есептеледі:
  • «НӘТИЖЕЛЕР» беті → 7 саладағы профиль + интерпретация
  • «ДАМУ ЖОСПАРЫ» беті → әлсіз сала бойынша жаттығулар
  • «ҚОРЫТЫНДЫ» беті → басып шығаруға және маманға арналған бір бет</t>
  </si>
  <si>
    <t>МАҢЫЗДЫ АҚПАРАТ</t>
  </si>
  <si>
    <t xml:space="preserve">  ⚠  Файл бір балаға арналған.
Екінші баланы бағалаған кезде — файлдың көшірмесін жасаңыз.
⚠  Нәтижелер бағдарлы сипатта болады
және маман кеңесін алмастырмайды.</t>
  </si>
  <si>
    <t>✓  Жаттығуларды жаңарту: F9 басыңыз
✓  Техникалық беттер жасырылған.
Оларды жоймаңыз — бұл жүйенің «қозғалтқышы».
✓  Даму динамикасы → «НҰСҚАУЛЫҚ» беті</t>
  </si>
  <si>
    <t xml:space="preserve">  © 2025 Rabiga Sagyndykova  ·  LOLA SYSTEM ·  Қайта сату және үшінші тұлғаларға беру тыйым салынған</t>
  </si>
  <si>
    <t>Бағалау нәтижелері бағдарлы сипатта болады және маман кеңесін алмастырмайды. Жеке атап өту керек: сенсорлық даму нормалары мен 5 жастан кейінгі жас топтары басқа салаларға қарағанда аз тұрақталған дәлелдер базасына сүйенеді — оларды әсіресе шамамен деп қабылдаңыз.</t>
  </si>
  <si>
    <t>Бағалауды қалай жүргізу керек</t>
  </si>
  <si>
    <t>1. Баланың паспортын толтырыңыз.</t>
  </si>
  <si>
    <t>2. Жастық беттерде дағдыларды бағалаңыз.</t>
  </si>
  <si>
    <t>3. Нәтижелерді «Нәтижелер» бетінде қараңыз.</t>
  </si>
  <si>
    <t>4. Назар аударыңыз:</t>
  </si>
  <si>
    <t>* әлсіз салаларға</t>
  </si>
  <si>
    <t>* ұсынымдарға</t>
  </si>
  <si>
    <t>* даму динамикасына</t>
  </si>
  <si>
    <t>Даму қарқынын бақылау үшін бағалауды әр 3–6 айда қайталаңыз.</t>
  </si>
  <si>
    <t>Уақыт бойынша даму динамикасын бағалау</t>
  </si>
  <si>
    <t>Бағалау күні</t>
  </si>
  <si>
    <t>Орташа индекс</t>
  </si>
  <si>
    <t>Дене дамуы</t>
  </si>
  <si>
    <t>Моторика</t>
  </si>
  <si>
    <t>Сөйлеу</t>
  </si>
  <si>
    <t>Танымдық</t>
  </si>
  <si>
    <t>Эмоциялар</t>
  </si>
  <si>
    <t>Әлеуметтік</t>
  </si>
  <si>
    <t>Өзіне-өзі қызмет</t>
  </si>
  <si>
    <t>Норма (90%)</t>
  </si>
  <si>
    <t>Прогресс көрсеткіші</t>
  </si>
  <si>
    <t>Интерпретация</t>
  </si>
  <si>
    <t>*Графигі Қорытындылар деген парақта көрсетіледі</t>
  </si>
  <si>
    <t>Ата-ана қайталама диагностика жасағанда:</t>
  </si>
  <si>
    <t>1️⃣ жолды көшіреді</t>
  </si>
  <si>
    <t>2️⃣ төменге қояды</t>
  </si>
  <si>
    <t>3️⃣ «Арнайы қою → мәндер»</t>
  </si>
  <si>
    <t>Осылайша тарих сақталады</t>
  </si>
  <si>
    <t>баланың аты</t>
  </si>
  <si>
    <t>туған күні</t>
  </si>
  <si>
    <t>бағалау күні</t>
  </si>
  <si>
    <t>Нақты жасы (ай)</t>
  </si>
  <si>
    <t>Жұмыс режимі:</t>
  </si>
  <si>
    <t>Нормативтік</t>
  </si>
  <si>
    <t>(Нормативтік — типті дамып келе жатқан балалар үшін; Терапиялық — ДМЖ бар балалар үшін)</t>
  </si>
  <si>
    <t>БАЛАНЫҢ ДАМУЫНЫҢ ЧЕК-ТІЗІМІ 0–12 АЙ</t>
  </si>
  <si>
    <t>*жас нормативтерімен және автоесептеумен</t>
  </si>
  <si>
    <t>Бағалау шкаласы (бірыңғай)</t>
  </si>
  <si>
    <t>0 — дағды жоқ</t>
  </si>
  <si>
    <t>1 — қалыптасуда / тұрақсыз</t>
  </si>
  <si>
    <t>2 — қалыптасқан</t>
  </si>
  <si>
    <t xml:space="preserve">Дағды меңгерілді деп есептеледі, егер: E ≥ 80%
</t>
  </si>
  <si>
    <t>Сала</t>
  </si>
  <si>
    <t>Дағды</t>
  </si>
  <si>
    <t>Норма (ай)</t>
  </si>
  <si>
    <t>Баға (0-2)</t>
  </si>
  <si>
    <t>% меңгеру</t>
  </si>
  <si>
    <t>есептелді/жоқ</t>
  </si>
  <si>
    <t>орт. норма</t>
  </si>
  <si>
    <t>Түсіндірме</t>
  </si>
  <si>
    <t>ДЕНЕ ЖӘНЕ ІРІ МОТОРИКАЛЫҚ ДАМУ</t>
  </si>
  <si>
    <t>Қарнымен жатқанда басын ұстайды</t>
  </si>
  <si>
    <t>2-3</t>
  </si>
  <si>
    <t>Ішімен жатқанда басын 45° көтеріп, кемінде 3–5 секунд ұстап тұрады</t>
  </si>
  <si>
    <t>Басы мен кеудесін көтереді</t>
  </si>
  <si>
    <t>Білектеріне тіреліп, басын және кеуде бөлігін көтереді</t>
  </si>
  <si>
    <t>Қарнынан арқасына аударылады</t>
  </si>
  <si>
    <t>3-4</t>
  </si>
  <si>
    <t>Ішімен жатқан қалыптан арқасына өздігінен кемінде бір рет аунайды</t>
  </si>
  <si>
    <t>Арқасынан қарнына аударылады</t>
  </si>
  <si>
    <t>4-5</t>
  </si>
  <si>
    <t>Арқасымен жатқан қалыптан өздігінен ішіне аунайды</t>
  </si>
  <si>
    <t>Басын тік ұстайды</t>
  </si>
  <si>
    <t>Тік қалыпта басы алға/артқа құламайды, тұрақты ұстайды</t>
  </si>
  <si>
    <t>Тіреумен отырады</t>
  </si>
  <si>
    <t>5-6</t>
  </si>
  <si>
    <t>Дене немесе арқа тірегімен отырады, құламайды</t>
  </si>
  <si>
    <t>Тіреусіз отырады</t>
  </si>
  <si>
    <t>6-7</t>
  </si>
  <si>
    <t>Тегіс жерде тірексіз кемінде 10–15 секунд отырады</t>
  </si>
  <si>
    <t>Жорғалайды (кез келген тәсілмен)</t>
  </si>
  <si>
    <t>7-9</t>
  </si>
  <si>
    <t>Төрттағандап, ішпен немесе еңбектеп қозғалады — кез келген тәсілмен</t>
  </si>
  <si>
    <t>Бетін өзі өзгертеді</t>
  </si>
  <si>
    <t>6-8</t>
  </si>
  <si>
    <t>Бір қалыптан екіншісіне өздігінен ауысады: отыру → жату → отыру</t>
  </si>
  <si>
    <t>Тіреуге ұстап тұрады</t>
  </si>
  <si>
    <t>8-9</t>
  </si>
  <si>
    <t>Жиһазға немесе ересек адамның қолына сүйеніп, тұрып кетеді</t>
  </si>
  <si>
    <t>Тіреу бойымен жүреді</t>
  </si>
  <si>
    <t>9-11</t>
  </si>
  <si>
    <t>Тірек бойымен (диван, үстел) қолымен ұстап жүре алады</t>
  </si>
  <si>
    <t>Тіреусіз тұрады</t>
  </si>
  <si>
    <t>10-11</t>
  </si>
  <si>
    <t>Тірексіз өздігінен бірнеше секунд тұрады</t>
  </si>
  <si>
    <t>Өзі жүреді</t>
  </si>
  <si>
    <t>11-13</t>
  </si>
  <si>
    <t>Тірексіз бірнеше қадам жасайды</t>
  </si>
  <si>
    <t>ҰСАҚ МОТОРИКА</t>
  </si>
  <si>
    <t>Ұсақ моторика</t>
  </si>
  <si>
    <t>Затты алақанда қысады</t>
  </si>
  <si>
    <t>Алақаны тигенде затты рефлексті немесе саналы түрде саусақтарымен қысады</t>
  </si>
  <si>
    <t>Затты 5–10 сек ұстайды</t>
  </si>
  <si>
    <t>Қолына салынған сылдырмақты немесе таяқшаны 5–10 секунд түсірмей ұстайды</t>
  </si>
  <si>
    <t>Затқа мақсатты түрде жетеді</t>
  </si>
  <si>
    <t>Ойыншықты көргенде оған қол созады — қозғалысы бағытталған</t>
  </si>
  <si>
    <t>Затты бір қолдан екінші қолға береді</t>
  </si>
  <si>
    <t>Затты бір қолынан екінші қолына саналы түрде ауыстырады</t>
  </si>
  <si>
    <t>Заттарды соғады</t>
  </si>
  <si>
    <t>Екі затты алып, оларды бір-біріне немесе бетке соғады</t>
  </si>
  <si>
    <t>Ойыншықпен манипуляция жасайды</t>
  </si>
  <si>
    <t>Ойыншықты сілкілейді, мыжиды, лақтырады, әртүрлі тәсілмен зерттейді</t>
  </si>
  <si>
    <t>Қысқаш қармау</t>
  </si>
  <si>
    <t>9-10</t>
  </si>
  <si>
    <t>Ұсақ затты (бұршақ, үгінді) бас және сұқ саусақпен алады</t>
  </si>
  <si>
    <t>Саусақпен нұсқайды</t>
  </si>
  <si>
    <t>10-12</t>
  </si>
  <si>
    <t>Созылған сұқ саусағын затқа немесе адамға қарай бағыттайды</t>
  </si>
  <si>
    <t>СЕНСОРЛЫҚ ДАМУ</t>
  </si>
  <si>
    <t>Сенсорика</t>
  </si>
  <si>
    <t>Бетке назарын тіркейді</t>
  </si>
  <si>
    <t>1-2</t>
  </si>
  <si>
    <t>Ересек адамның көзіне қарап, 3–5 секунд назарын ұстайды</t>
  </si>
  <si>
    <t>Қозғалатын затты қадағалайды</t>
  </si>
  <si>
    <t>Көзімен баяу қозғалатын затты бақылайды — солға, оңға, шеңбер бойымен</t>
  </si>
  <si>
    <t>Дыбысқа жауап береді</t>
  </si>
  <si>
    <t>Дыбысқа жауап ретінде селт етеді, тоқтайды немесе басын бұрады</t>
  </si>
  <si>
    <t>Дыбысқа басын бұрады</t>
  </si>
  <si>
    <t>Дыбыс көзіне (дауыс, сылдырмақ) қарай басын бұрады</t>
  </si>
  <si>
    <t>Жақынының дауысын таниды</t>
  </si>
  <si>
    <t>Басқа дауыстардың арасынан анасының/әкесінің дауысын естіп, тынышталады немесе жанданады</t>
  </si>
  <si>
    <t>Заттарды аузымен зерттейді</t>
  </si>
  <si>
    <t>4-6</t>
  </si>
  <si>
    <t>Заттарды аузына апарып, тілмен және қызыл иекпен белсенді зерттейді</t>
  </si>
  <si>
    <t>Таныс және жаңа объектілерді ажыратады</t>
  </si>
  <si>
    <t>6-9</t>
  </si>
  <si>
    <t>Жаңа, бейтаныс затқа ұзақ немесе қызығушылықпен қарайды</t>
  </si>
  <si>
    <t>СӨЙЛЕУ ЖӘНЕ КОММУНИКАЦИЯ</t>
  </si>
  <si>
    <t>Гуілдейді</t>
  </si>
  <si>
    <t>Ұзақ дауысты дыбыстар шығарады: «а-а», «у-у», «о-о» — жылау емес, «әндету»</t>
  </si>
  <si>
    <t>Мыңғырлайды</t>
  </si>
  <si>
    <t>Буын тізбектерін айтады: «ба-ба-ба», «да-да», «ма-ма» — міндетті түрде мағыналы емес</t>
  </si>
  <si>
    <t>Атына жауап береді</t>
  </si>
  <si>
    <t>Өз атын естігенде басын бұрады, қарайды немесе мінез-құлқын өзгертеді</t>
  </si>
  <si>
    <t>Тыйым интонациясын түсінеді</t>
  </si>
  <si>
    <t>Тыйым салатын дауыс ырғағына жауап береді — тоқтайды немесе қимылын тоқтатады</t>
  </si>
  <si>
    <t>Қарапайым сөздерді түсінеді</t>
  </si>
  <si>
    <t>«Бер», «жоқ», «мында кел» сөздерін түсінеді — ымсыз әрекетпен жауап береді</t>
  </si>
  <si>
    <t>Ым-ишаралар қолданады (бер, сау бол)</t>
  </si>
  <si>
    <t>8-10</t>
  </si>
  <si>
    <t>«Сау бол» деп қол бұлғайды, «бер» деп қол созады, «жоқ» деп бас шайқайды — саналы түрде</t>
  </si>
  <si>
    <t>Мағыналы буындарды айтады</t>
  </si>
  <si>
    <t>Буындарды мақсатпен айтады: «ма» — анасына қарап, «бер» — затқа қол созып</t>
  </si>
  <si>
    <t>Алғашқы сөздерді айтады</t>
  </si>
  <si>
    <t>10-14</t>
  </si>
  <si>
    <t>1–3 сөзді саналы және тұрақты қолданады: мама, папа, бер, ал, ав</t>
  </si>
  <si>
    <t>ТАНЫМДЫҚ ДАМУ</t>
  </si>
  <si>
    <t>Жаңаға қызығушылық танытады</t>
  </si>
  <si>
    <t>Жаңа затқа басын бұрып, оған қол созып, қарап зерттейді</t>
  </si>
  <si>
    <t>Жоғалған затты іздейді</t>
  </si>
  <si>
    <t>Көз алдында матамен жабылған затты іздейді — көтереді немесе қол созады</t>
  </si>
  <si>
    <t>Себеп-салдар байланысын түсінеді</t>
  </si>
  <si>
    <t>Түймені басады — дыбыс күтеді; лақтырады — түсуін күтеді; «егер–онда» байланысын түсінеді</t>
  </si>
  <si>
    <t>Ересектің іс-қимылдарын қайталайды</t>
  </si>
  <si>
    <t>Ересектің қарапайым әрекетін қайталайды: қол шапалақтау, қол бұлғау</t>
  </si>
  <si>
    <t>Затты мақсатты қолданады</t>
  </si>
  <si>
    <t>9-12</t>
  </si>
  <si>
    <t>Қасықты аузына, кесені ерніне, тарақты басына дұрыс апарады</t>
  </si>
  <si>
    <t>ЭМОЦИЯЛЫҚ ДАМУ</t>
  </si>
  <si>
    <t>Әлеуметтік күлімсіреу</t>
  </si>
  <si>
    <t>Ересектің күлкісіне жауап ретінде күледі — тек физикалық жайлылықтан емес</t>
  </si>
  <si>
    <t>Қуанышын білдіреді</t>
  </si>
  <si>
    <t>Ойын немесе жағымды қарым-қатынас кезінде күліп, белсенді қозғалады</t>
  </si>
  <si>
    <t>Наразылығын білдіреді</t>
  </si>
  <si>
    <t>Қолайсыздықта, аштықта, жалығуда жылайды немесе ыңырсиды — жағдайға байланысты</t>
  </si>
  <si>
    <t>Өзінікілер мен бейтаныстарды ажыратады</t>
  </si>
  <si>
    <t>Таныс адамдарға ұмтылады, бейтаныстардан қысылып немесе жылауы мүмкін</t>
  </si>
  <si>
    <t>Байланысын білдіреді</t>
  </si>
  <si>
    <t>Анасына/әкесіне ұмтылады, жақын адамның қолында тынышталады</t>
  </si>
  <si>
    <t>Ересектің көмегімен тынышталады</t>
  </si>
  <si>
    <t>8-12</t>
  </si>
  <si>
    <t>Ересек көтеріп, сөйлесіп немесе тыныштандырғанда жылауын тоқтатады</t>
  </si>
  <si>
    <t>ӘЛЕУМЕТТІК ДАМУ</t>
  </si>
  <si>
    <t>Көз байланысын орнатады</t>
  </si>
  <si>
    <t>Ересектің көзіне бірнеше секунд бойы қарап, көзін тайдырмайды</t>
  </si>
  <si>
    <t>Жауап ретінде күлімсірейді</t>
  </si>
  <si>
    <t>Ересектің күлкісіне жауап ретінде күледі — жай ғана мимика емес</t>
  </si>
  <si>
    <t>Қарым-қатынасты бастайды</t>
  </si>
  <si>
    <t>Өзі ересектің назарын аудару үшін гуілдеп, күліп, қарайды</t>
  </si>
  <si>
    <t>Қарапайым ойындар ойнайды (шапалақ)</t>
  </si>
  <si>
    <t>«Ладушки» ойынына жауап ретінде қол шапалақтайды, өтініш бойынша «сау бол» деп қол бұлғайды</t>
  </si>
  <si>
    <t>Басқа балаларға қызығушылық танытады</t>
  </si>
  <si>
    <t>Басқа баланы бақылап, оған қол созып, күлімсірейді</t>
  </si>
  <si>
    <t>Баланың паспорты</t>
  </si>
  <si>
    <t>Күшті және әлсіз сала</t>
  </si>
  <si>
    <t>Нәтижелерді талқылау</t>
  </si>
  <si>
    <t>Поле</t>
  </si>
  <si>
    <t>Мағынасы</t>
  </si>
  <si>
    <t>Көрсеткіш</t>
  </si>
  <si>
    <t>Формула</t>
  </si>
  <si>
    <t>90–100% — жас нормасы</t>
  </si>
  <si>
    <t>Аты</t>
  </si>
  <si>
    <t>Күшті сала</t>
  </si>
  <si>
    <t>75–89% — жеңіл кешеу</t>
  </si>
  <si>
    <t>Жасы</t>
  </si>
  <si>
    <t>Даму аймағы</t>
  </si>
  <si>
    <t>50–74% — орташа кешеу</t>
  </si>
  <si>
    <t>Жақын даму аймағы</t>
  </si>
  <si>
    <t>&lt;50% — айқын кешеу</t>
  </si>
  <si>
    <t>Жалпы қорытынды</t>
  </si>
  <si>
    <t>*«Өрмекші» диаграммасы даму құрылымын көрсетеді 
*Бағанды диаграмма норманың %-ын көрсетеді
*Мықты сала — дамудың негізі (немесе «даму тірегі»)
*Әлсіз сала — жұмыс басымдылығы</t>
  </si>
  <si>
    <t>Режим</t>
  </si>
  <si>
    <t>Даму үйлесімділігінің индексі</t>
  </si>
  <si>
    <t>Орташа дамудың деңгейі</t>
  </si>
  <si>
    <t>Дамудың функционалдық деңгейі</t>
  </si>
  <si>
    <t>Нормадан қалу</t>
  </si>
  <si>
    <t>Ұсыным</t>
  </si>
  <si>
    <t>*Өрмекші» диаграммасы даму құрылымын көрсетеді: фигура неғұрлым тегіс болса, даму соғұрлым үйлесімді болады.</t>
  </si>
  <si>
    <t>*Төмендеген тұстар (ойықтар) қолдауды қажет ететін аймақтарды көрсетеді.</t>
  </si>
  <si>
    <t>*Бағандар жас нормасына қатысты дағдылардың даму деңгейін көрсетеді.</t>
  </si>
  <si>
    <t>*Қызыл сызық жас нормасының шегін білдіреді (90%).</t>
  </si>
  <si>
    <t>Даму барысын (прогресті) бақылап отыру үшін бағалауды әр 3–6 ай сайын қайталаңыз.</t>
  </si>
  <si>
    <t>ДАМУ БОЙЫНША ҰСЫНЫМДАР</t>
  </si>
  <si>
    <t>Ұсынымдар</t>
  </si>
  <si>
    <t>Бала дамуының профилі</t>
  </si>
  <si>
    <t>Даму стратегиясы</t>
  </si>
  <si>
    <t>Даму қарқыны</t>
  </si>
  <si>
    <t>Даму болжамы</t>
  </si>
  <si>
    <t>БАЛАНЫҢ ДАМУЫН БАҒАЛАУ ТУРАЛЫ ҚОРЫТЫНДЫ</t>
  </si>
  <si>
    <t>ПАСПОРТ</t>
  </si>
  <si>
    <t>Баланың аты</t>
  </si>
  <si>
    <t>Баланың жасы (ай)</t>
  </si>
  <si>
    <t>Бағалау режимі</t>
  </si>
  <si>
    <t>ДАМУ ПРОФИЛІ</t>
  </si>
  <si>
    <t>Дамудың орташа индексі</t>
  </si>
  <si>
    <t>Даму жасы (диапазон)</t>
  </si>
  <si>
    <t>Басым сала (ең әлсіз)</t>
  </si>
  <si>
    <t>Профиль түрі</t>
  </si>
  <si>
    <t>Үйлесімділік деңгейі</t>
  </si>
  <si>
    <t>Тәуекел бағасы</t>
  </si>
  <si>
    <t>САЛАЛАР БОЙЫНША БАҒА</t>
  </si>
  <si>
    <t>Деңгей</t>
  </si>
  <si>
    <t>% нормасы</t>
  </si>
  <si>
    <t>ҰСЫНЫСТАР</t>
  </si>
  <si>
    <t>Ұсынылатын маман</t>
  </si>
  <si>
    <t>Ұсынылатын терапия</t>
  </si>
  <si>
    <t>Сабақ жүктемесі</t>
  </si>
  <si>
    <t>АПТАЛЫҚ ЖОСПАР (кездейсоқ таңдау)</t>
  </si>
  <si>
    <t>Жаттығу</t>
  </si>
  <si>
    <t>Сипаттама</t>
  </si>
  <si>
    <t>Дүйсенбі</t>
  </si>
  <si>
    <t>Сейсенбі</t>
  </si>
  <si>
    <t>Сәрсенбі</t>
  </si>
  <si>
    <t>Бейсенбі</t>
  </si>
  <si>
    <t>Жұма</t>
  </si>
  <si>
    <t>ЖИЫНТЫҚ ҚОРЫТЫНДЫ</t>
  </si>
  <si>
    <t>* Нәтижелер бағдарлы болып табылады және маманның кеңесін алмастырмайды.</t>
  </si>
  <si>
    <t>Жоспарды жаңарту үшін F9 функционалдық пернесін басыңыз.</t>
  </si>
  <si>
    <t>Бағыт</t>
  </si>
  <si>
    <t>Не дамытамыз?</t>
  </si>
  <si>
    <t>Жиілік</t>
  </si>
  <si>
    <t>Ұсынылатын жаттығу</t>
  </si>
  <si>
    <t>Жаттығудың сиппатамасы</t>
  </si>
  <si>
    <t>Даму басымдығы</t>
  </si>
  <si>
    <t>Тірек саласы</t>
  </si>
  <si>
    <t>Апталық жоспар</t>
  </si>
  <si>
    <t>Күн</t>
  </si>
  <si>
    <t>Үш айлық жоспар</t>
  </si>
  <si>
    <t>Апта</t>
  </si>
  <si>
    <t>1 апта</t>
  </si>
  <si>
    <t>2 апта</t>
  </si>
  <si>
    <t>3 апта</t>
  </si>
  <si>
    <t>4 апта</t>
  </si>
  <si>
    <t>5 апта</t>
  </si>
  <si>
    <t>6 апта</t>
  </si>
  <si>
    <t>7 апта</t>
  </si>
  <si>
    <t>8 апта</t>
  </si>
  <si>
    <t>9 апта</t>
  </si>
  <si>
    <t>10 апта</t>
  </si>
  <si>
    <t>11 апта</t>
  </si>
  <si>
    <t>12 апта</t>
  </si>
  <si>
    <t>Орташа нормасы</t>
  </si>
  <si>
    <t>Есептелді</t>
  </si>
  <si>
    <t>Жастық беттері</t>
  </si>
  <si>
    <t>Салмақ</t>
  </si>
  <si>
    <t>Даму жасы (ай)</t>
  </si>
  <si>
    <t>Даму жасы (жыл)</t>
  </si>
  <si>
    <t>Айырмашылық (ай)</t>
  </si>
  <si>
    <t>Жастан %</t>
  </si>
  <si>
    <t>Кешеу (жыл)</t>
  </si>
  <si>
    <t>Норма</t>
  </si>
  <si>
    <t>Сала салмағы</t>
  </si>
  <si>
    <t>Салмақталған %</t>
  </si>
  <si>
    <t>Қысқа қорытынды</t>
  </si>
  <si>
    <t>Норма 90%</t>
  </si>
  <si>
    <t>Орташа даму жасы</t>
  </si>
  <si>
    <t>Минималды жас</t>
  </si>
  <si>
    <t>Макс.ималды жас</t>
  </si>
  <si>
    <t>Ұсыныстар бағдарлау сипатында болады және маманның кеңесін алмастыра алмайды. Даму динамикасын бақылап отыру үшін бағалауды жүйелі түрде (3–6 айда бір рет) қайталап тұрыңыз.</t>
  </si>
  <si>
    <t>Күшті жақ</t>
  </si>
  <si>
    <t>Салалардың түстік белгіленуі</t>
  </si>
  <si>
    <t>Ең назар аударатын сала</t>
  </si>
  <si>
    <t xml:space="preserve">%   </t>
  </si>
  <si>
    <t>Түс</t>
  </si>
  <si>
    <t>% айырмашылық</t>
  </si>
  <si>
    <t xml:space="preserve">≥ 90%  </t>
  </si>
  <si>
    <t>жасыл</t>
  </si>
  <si>
    <t>жас нормасы</t>
  </si>
  <si>
    <t>Жас нормасымен айырмашылық</t>
  </si>
  <si>
    <t xml:space="preserve">75–89% </t>
  </si>
  <si>
    <t>сары</t>
  </si>
  <si>
    <t>жеңіл кешеу</t>
  </si>
  <si>
    <t>Жұмыс басымдығы (ең әлсіз сала)</t>
  </si>
  <si>
    <t xml:space="preserve">50–74% </t>
  </si>
  <si>
    <t>қызғылт сары</t>
  </si>
  <si>
    <t>орташа</t>
  </si>
  <si>
    <t>Баланың даму профилі</t>
  </si>
  <si>
    <t xml:space="preserve">&lt; 50%  </t>
  </si>
  <si>
    <t>қызыл</t>
  </si>
  <si>
    <t>айқын</t>
  </si>
  <si>
    <t>Профиль түсіндірмесі</t>
  </si>
  <si>
    <t>Даму қарқынын бағалау</t>
  </si>
  <si>
    <t>ЖДА</t>
  </si>
  <si>
    <t>Даму деңгейі</t>
  </si>
  <si>
    <t>Үйлесімділік индексі</t>
  </si>
  <si>
    <t>Даму потенциалы индексі</t>
  </si>
  <si>
    <t>Функционалдық тәуелсіздік индексі</t>
  </si>
  <si>
    <t>Ф.тәуелс. индексі интерпретациясы</t>
  </si>
  <si>
    <t>Коррекциялық жүктеме индексі</t>
  </si>
  <si>
    <t>Сабақ жүктемесі бойынша ұсыным</t>
  </si>
  <si>
    <t>Тәуекел деңгейі</t>
  </si>
  <si>
    <t>Даму динамикасы</t>
  </si>
  <si>
    <t>Күні</t>
  </si>
  <si>
    <t>Орташа индексі</t>
  </si>
  <si>
    <t>%</t>
  </si>
  <si>
    <t>2-ші басымдық (2-ші әлсіз сала)</t>
  </si>
  <si>
    <t>3-ші басымдық (3-ші әлсіз сала)</t>
  </si>
  <si>
    <t>Ең осал нейрофункция</t>
  </si>
  <si>
    <t>Ең осал сенсорлық жүйе</t>
  </si>
  <si>
    <t>базалық</t>
  </si>
  <si>
    <t>Жанқабатқа домалау</t>
  </si>
  <si>
    <t>жамбас арқылы көмек</t>
  </si>
  <si>
    <t>Қарынға домалау</t>
  </si>
  <si>
    <t>иық арқылы</t>
  </si>
  <si>
    <t>Ойыншыққа жорғалау</t>
  </si>
  <si>
    <t>ынталандыру алға</t>
  </si>
  <si>
    <t>Тіреумен жорғалау</t>
  </si>
  <si>
    <t>аяқтарды көмек</t>
  </si>
  <si>
    <t>Басты ұстау</t>
  </si>
  <si>
    <t>қарынмен жатып</t>
  </si>
  <si>
    <t>Шынтаққа көтерілу</t>
  </si>
  <si>
    <t>қолдарға сүйену</t>
  </si>
  <si>
    <t>Төрт аяқта тербелу</t>
  </si>
  <si>
    <t>алға-артқа</t>
  </si>
  <si>
    <t>Төрт аяқта тұру</t>
  </si>
  <si>
    <t>ұстау</t>
  </si>
  <si>
    <t>Фитбол үстінде орналасу</t>
  </si>
  <si>
    <t>корпусты ұстау</t>
  </si>
  <si>
    <t>Жатып аяқты көтеру</t>
  </si>
  <si>
    <t>көмекпен</t>
  </si>
  <si>
    <t>Жастыққа арқылы жорғалау</t>
  </si>
  <si>
    <t>кішкене кедергі</t>
  </si>
  <si>
    <t>Тіреуге тұру</t>
  </si>
  <si>
    <t>қолмен көмек</t>
  </si>
  <si>
    <t>Тіреуде тұру</t>
  </si>
  <si>
    <t>Тіреу бойымен жүру</t>
  </si>
  <si>
    <t>жанына қозғалу</t>
  </si>
  <si>
    <t>Тіреумен отыру</t>
  </si>
  <si>
    <t>қолынан ұстау</t>
  </si>
  <si>
    <t>Ауырлықты ауыстыру</t>
  </si>
  <si>
    <t>оңға-солға</t>
  </si>
  <si>
    <t>Тіреумен жүру</t>
  </si>
  <si>
    <t>екі қолынан</t>
  </si>
  <si>
    <t>Саусақ ұшына тұру</t>
  </si>
  <si>
    <t>Жоғарыға жету</t>
  </si>
  <si>
    <t>ойыншыққа</t>
  </si>
  <si>
    <t>Допта отыру</t>
  </si>
  <si>
    <t>тепе-теңдік</t>
  </si>
  <si>
    <t>жоғары</t>
  </si>
  <si>
    <t>Тіреусіз жүру</t>
  </si>
  <si>
    <t>қысқа қадамдар</t>
  </si>
  <si>
    <t>Кедергілерден аттау</t>
  </si>
  <si>
    <t>төмен заттар</t>
  </si>
  <si>
    <t>Орнында секіру</t>
  </si>
  <si>
    <t>тіреумен</t>
  </si>
  <si>
    <t>Бөлмеде жүгіру</t>
  </si>
  <si>
    <t>қысқа қашықтық</t>
  </si>
  <si>
    <t>Диванға шығу</t>
  </si>
  <si>
    <t>өздігінен</t>
  </si>
  <si>
    <t>Бір аяқта тұру</t>
  </si>
  <si>
    <t>2-3 секунд</t>
  </si>
  <si>
    <t>Баспалдақпен шығу</t>
  </si>
  <si>
    <t>Баспалдақтан түсу</t>
  </si>
  <si>
    <t>қозғалысты бақылау</t>
  </si>
  <si>
    <t>Допты лақтыру</t>
  </si>
  <si>
    <t>алға</t>
  </si>
  <si>
    <t>Допты ұстау</t>
  </si>
  <si>
    <t>екі қолмен</t>
  </si>
  <si>
    <t>Губканы қысу</t>
  </si>
  <si>
    <t>жұмсақ</t>
  </si>
  <si>
    <t>Бүкіл қолмен ұстау</t>
  </si>
  <si>
    <t>үлкен зат</t>
  </si>
  <si>
    <t>Қайта салу</t>
  </si>
  <si>
    <t>қолдан қолға</t>
  </si>
  <si>
    <t>Заттармен соғу</t>
  </si>
  <si>
    <t>үйлестіру</t>
  </si>
  <si>
    <t>Сумен ойын</t>
  </si>
  <si>
    <t>қолмен</t>
  </si>
  <si>
    <t>Жарма себу</t>
  </si>
  <si>
    <t>Текстураларды сезу</t>
  </si>
  <si>
    <t>түрлі материалдар</t>
  </si>
  <si>
    <t>Пластилин илеу</t>
  </si>
  <si>
    <t>Кесінділерді үзу</t>
  </si>
  <si>
    <t>үлкен</t>
  </si>
  <si>
    <t>Саусақпен басу</t>
  </si>
  <si>
    <t>батырмалар</t>
  </si>
  <si>
    <t>Қысқаш ұстау</t>
  </si>
  <si>
    <t>екі саусақ</t>
  </si>
  <si>
    <t>Қысқыш</t>
  </si>
  <si>
    <t>Ірі моншақ тізу</t>
  </si>
  <si>
    <t>жіпке</t>
  </si>
  <si>
    <t>Қораптарды ашу</t>
  </si>
  <si>
    <t>қарапайым</t>
  </si>
  <si>
    <t>Қақпақтарды бұрау</t>
  </si>
  <si>
    <t>ірі</t>
  </si>
  <si>
    <t>Сызықтар салу</t>
  </si>
  <si>
    <t>кең</t>
  </si>
  <si>
    <t>Нүктелер салу</t>
  </si>
  <si>
    <t>Кірістіргіштер</t>
  </si>
  <si>
    <t>нысандар</t>
  </si>
  <si>
    <t>Суды ауыстыру</t>
  </si>
  <si>
    <t>қасықпен</t>
  </si>
  <si>
    <t>Қуммен ойын</t>
  </si>
  <si>
    <t>күрекпен</t>
  </si>
  <si>
    <t>Ұсақ моншақ тізу</t>
  </si>
  <si>
    <t>дәлдік</t>
  </si>
  <si>
    <t>Қатты қысқыш</t>
  </si>
  <si>
    <t>күш</t>
  </si>
  <si>
    <t>Контур бойынша айналдыру</t>
  </si>
  <si>
    <t>жіңішке</t>
  </si>
  <si>
    <t>Фигуралар салу</t>
  </si>
  <si>
    <t>шеңбер, шаршы</t>
  </si>
  <si>
    <t>Кнопкаларды жабу</t>
  </si>
  <si>
    <t>ұсақ</t>
  </si>
  <si>
    <t>Молния</t>
  </si>
  <si>
    <t>Шнуровка</t>
  </si>
  <si>
    <t>ұсақ заттар</t>
  </si>
  <si>
    <t>Ұсақтарды сұрыптау</t>
  </si>
  <si>
    <t>түсі бойынша</t>
  </si>
  <si>
    <t>Қайшымен жұмыс</t>
  </si>
  <si>
    <t>қауіпсіз</t>
  </si>
  <si>
    <t>Дауыстыларды қайталау</t>
  </si>
  <si>
    <t>а, у, о</t>
  </si>
  <si>
    <t>Атына жауап</t>
  </si>
  <si>
    <t>дыбыс</t>
  </si>
  <si>
    <t>Жануарлар дыбыстары</t>
  </si>
  <si>
    <t>мияу, ав</t>
  </si>
  <si>
    <t>Тұрмыстық дыбыстар</t>
  </si>
  <si>
    <t>би-би</t>
  </si>
  <si>
    <t>Саусақпен нұсқау</t>
  </si>
  <si>
    <t>затқа</t>
  </si>
  <si>
    <t>«бер» түсіну</t>
  </si>
  <si>
    <t>қарапайым бұйрық</t>
  </si>
  <si>
    <t>«міне» түсіну</t>
  </si>
  <si>
    <t>беру</t>
  </si>
  <si>
    <t>«тағы» ымы</t>
  </si>
  <si>
    <t>өтініш</t>
  </si>
  <si>
    <t>Сөйлеуді тыңдау</t>
  </si>
  <si>
    <t>қысқа тіркестер</t>
  </si>
  <si>
    <t>Көздесу</t>
  </si>
  <si>
    <t>2-3 сек</t>
  </si>
  <si>
    <t>Буындарды қайталау</t>
  </si>
  <si>
    <t>ма-ма</t>
  </si>
  <si>
    <t>Затты көрсету</t>
  </si>
  <si>
    <t>таңдау</t>
  </si>
  <si>
    <t>Дене мүшесін көрсету</t>
  </si>
  <si>
    <t>мұрын, ауыз</t>
  </si>
  <si>
    <t>Бұйрықты орындау</t>
  </si>
  <si>
    <t>1 іс-қимыл</t>
  </si>
  <si>
    <t>Екіден таңдау</t>
  </si>
  <si>
    <t>заттар</t>
  </si>
  <si>
    <t>Сөздерді қайталау</t>
  </si>
  <si>
    <t>«қайда?» ойыны</t>
  </si>
  <si>
    <t>іздеу</t>
  </si>
  <si>
    <t>Карточкалар</t>
  </si>
  <si>
    <t>Ыммен жауап</t>
  </si>
  <si>
    <t>иә/жоқ</t>
  </si>
  <si>
    <t>Еліктеу</t>
  </si>
  <si>
    <t>іс-қимылдар</t>
  </si>
  <si>
    <t>2 сөзден тіркестер</t>
  </si>
  <si>
    <t>мама бер</t>
  </si>
  <si>
    <t>Сөзбен жауап</t>
  </si>
  <si>
    <t>Заттарды атау</t>
  </si>
  <si>
    <t>белсенді</t>
  </si>
  <si>
    <t>Не жасайды</t>
  </si>
  <si>
    <t>Аяқтау</t>
  </si>
  <si>
    <t>сөз соңы</t>
  </si>
  <si>
    <t>Суретті сипаттау</t>
  </si>
  <si>
    <t>Сұрақ-жауап</t>
  </si>
  <si>
    <t>диалог</t>
  </si>
  <si>
    <t>Ән айту</t>
  </si>
  <si>
    <t>қысқа</t>
  </si>
  <si>
    <t>Тіркестерді қайталау</t>
  </si>
  <si>
    <t>3-4 сөз</t>
  </si>
  <si>
    <t>Қайта айту</t>
  </si>
  <si>
    <t>Затты тап</t>
  </si>
  <si>
    <t>бір</t>
  </si>
  <si>
    <t>Сәйкестендіру</t>
  </si>
  <si>
    <t>зат-сурет</t>
  </si>
  <si>
    <t>Себеп-салдар</t>
  </si>
  <si>
    <t>батырма-дыбыс</t>
  </si>
  <si>
    <t>Батырмалармен ойын</t>
  </si>
  <si>
    <t>басу</t>
  </si>
  <si>
    <t>Кубиктен мұнара</t>
  </si>
  <si>
    <t>2 түс сұрыптау</t>
  </si>
  <si>
    <t>негізгі</t>
  </si>
  <si>
    <t>Үлкен-кіші</t>
  </si>
  <si>
    <t>айырмашылық</t>
  </si>
  <si>
    <t>Бір-көп</t>
  </si>
  <si>
    <t>түсіну</t>
  </si>
  <si>
    <t>Жоғары-төмен</t>
  </si>
  <si>
    <t>бағдар</t>
  </si>
  <si>
    <t>Ішінде-сыртында</t>
  </si>
  <si>
    <t>2-4 пазл</t>
  </si>
  <si>
    <t>жинау</t>
  </si>
  <si>
    <t>Ұқсасты тап</t>
  </si>
  <si>
    <t>жұптар</t>
  </si>
  <si>
    <t>Артығын тап</t>
  </si>
  <si>
    <t>3 зат</t>
  </si>
  <si>
    <t>Есте сақтау 2 карточка</t>
  </si>
  <si>
    <t>жаттау</t>
  </si>
  <si>
    <t>Топтастыру</t>
  </si>
  <si>
    <t>белгі бойынша</t>
  </si>
  <si>
    <t>Кезектілік</t>
  </si>
  <si>
    <t>2 қадам</t>
  </si>
  <si>
    <t>Салыстыру</t>
  </si>
  <si>
    <t>үлкен-кіші</t>
  </si>
  <si>
    <t>Қарапайым тапсырмалар</t>
  </si>
  <si>
    <t>логика</t>
  </si>
  <si>
    <t>Конструктор</t>
  </si>
  <si>
    <t>үлгі бойынша</t>
  </si>
  <si>
    <t>Сюжеттік ойын</t>
  </si>
  <si>
    <t>қуыршақ</t>
  </si>
  <si>
    <t>5-10 пазл</t>
  </si>
  <si>
    <t>күрделірек</t>
  </si>
  <si>
    <t>4 карточка есте сақтау</t>
  </si>
  <si>
    <t>күрделену</t>
  </si>
  <si>
    <t>Не өзгерді</t>
  </si>
  <si>
    <t>талдау</t>
  </si>
  <si>
    <t>Не жоғалды</t>
  </si>
  <si>
    <t>есте сақтау</t>
  </si>
  <si>
    <t>Логикалық тізбектер</t>
  </si>
  <si>
    <t>кезектілік</t>
  </si>
  <si>
    <t>Жіктеу</t>
  </si>
  <si>
    <t>бірнеше белгі</t>
  </si>
  <si>
    <t>Жоспарлау</t>
  </si>
  <si>
    <t>2-3 іс-қимыл</t>
  </si>
  <si>
    <t>Қарапайым есептер</t>
  </si>
  <si>
    <t>Рөлдік ойындар</t>
  </si>
  <si>
    <t>сюжет</t>
  </si>
  <si>
    <t>Есеп шешу</t>
  </si>
  <si>
    <t>Жауап күлімсіреу</t>
  </si>
  <si>
    <t>реакция</t>
  </si>
  <si>
    <t>ұстап тұру</t>
  </si>
  <si>
    <t>Дауысқа жауап</t>
  </si>
  <si>
    <t>бұрылу</t>
  </si>
  <si>
    <t>Тынышталу</t>
  </si>
  <si>
    <t>Байланысты қабылдау</t>
  </si>
  <si>
    <t>құшақтасу</t>
  </si>
  <si>
    <t>Жақындарды тану</t>
  </si>
  <si>
    <t>Қуаныш</t>
  </si>
  <si>
    <t>білдіру</t>
  </si>
  <si>
    <t>Наразылық</t>
  </si>
  <si>
    <t>сигнал</t>
  </si>
  <si>
    <t>Күту</t>
  </si>
  <si>
    <t>Мақтауға жауап</t>
  </si>
  <si>
    <t>күлімсіреу</t>
  </si>
  <si>
    <t>Эмоцияларды білдіру</t>
  </si>
  <si>
    <t>сөзбен</t>
  </si>
  <si>
    <t>Эмоцияларды бақылау</t>
  </si>
  <si>
    <t>Эмоцияларды түсіну</t>
  </si>
  <si>
    <t>басқалардың</t>
  </si>
  <si>
    <t>Ауысу</t>
  </si>
  <si>
    <t>жылаудан</t>
  </si>
  <si>
    <t>Шыдамдылық</t>
  </si>
  <si>
    <t>күту</t>
  </si>
  <si>
    <t>«ку-ку» ойыны</t>
  </si>
  <si>
    <t>бірлескен</t>
  </si>
  <si>
    <t>Бірлескен назар</t>
  </si>
  <si>
    <t>қарау</t>
  </si>
  <si>
    <t>Ересекпен байланыс</t>
  </si>
  <si>
    <t>ойын</t>
  </si>
  <si>
    <t>Ересекпен ойын</t>
  </si>
  <si>
    <t>кезектесіп</t>
  </si>
  <si>
    <t>Балалармен ойын</t>
  </si>
  <si>
    <t>жанында</t>
  </si>
  <si>
    <t>Көмек сұрау</t>
  </si>
  <si>
    <t>ым</t>
  </si>
  <si>
    <t>Ойыншықпен бөлісу</t>
  </si>
  <si>
    <t>нұсқаумен</t>
  </si>
  <si>
    <t>Кезегін күту</t>
  </si>
  <si>
    <t>Бірлескен ойын</t>
  </si>
  <si>
    <t>Сөзбен қарым-қатынас</t>
  </si>
  <si>
    <t>өтініштер</t>
  </si>
  <si>
    <t>Ережелерді орындау</t>
  </si>
  <si>
    <t>Диалог</t>
  </si>
  <si>
    <t>Бастама</t>
  </si>
  <si>
    <t>байланыс</t>
  </si>
  <si>
    <t>Қасық ұстау</t>
  </si>
  <si>
    <t>Кеседен ішу</t>
  </si>
  <si>
    <t>Жуыну</t>
  </si>
  <si>
    <t>көмек</t>
  </si>
  <si>
    <t>Шұлық шешу</t>
  </si>
  <si>
    <t>ішінара</t>
  </si>
  <si>
    <t>Үстелде отыру</t>
  </si>
  <si>
    <t>аз уақыт</t>
  </si>
  <si>
    <t>Қасықпен жеу</t>
  </si>
  <si>
    <t>қолдаумен</t>
  </si>
  <si>
    <t>Өздігінен ішу</t>
  </si>
  <si>
    <t>мұқият</t>
  </si>
  <si>
    <t>Бас киім кию</t>
  </si>
  <si>
    <t>Ойыншықтарды жинау</t>
  </si>
  <si>
    <t>өтінішпен</t>
  </si>
  <si>
    <t>1 мин</t>
  </si>
  <si>
    <t>Өздігінен жеу</t>
  </si>
  <si>
    <t>толығымен</t>
  </si>
  <si>
    <t>Кию</t>
  </si>
  <si>
    <t>Гигиена</t>
  </si>
  <si>
    <t>қолдар</t>
  </si>
  <si>
    <t>Киім таңдау</t>
  </si>
  <si>
    <t>саналы</t>
  </si>
  <si>
    <t>Сұрату</t>
  </si>
  <si>
    <t>Коррекцияның саласы</t>
  </si>
  <si>
    <t>Жеңіл ынталандыру</t>
  </si>
  <si>
    <t>Тұрақты жұмыс</t>
  </si>
  <si>
    <t xml:space="preserve">Басым коррекция </t>
  </si>
  <si>
    <t>Ұсынылады: көбірек қозғалмалы ойындар</t>
  </si>
  <si>
    <t>Ұсынылады: үйлестіру жаттығулары</t>
  </si>
  <si>
    <t>Ұсынылады: ЛФК кеңесі</t>
  </si>
  <si>
    <t xml:space="preserve">Ұсынылады: пластилинмен ойындар         </t>
  </si>
  <si>
    <t xml:space="preserve">Ұсынылады: мозаика, шнуровка     </t>
  </si>
  <si>
    <t>Ұсынылады: күнделікті жаттығулар</t>
  </si>
  <si>
    <t>Ұсынылады: кітап оқу</t>
  </si>
  <si>
    <t xml:space="preserve">Ұсынылады: белсенді диалог      </t>
  </si>
  <si>
    <t>Ұсынылады: логопедиялық көмек</t>
  </si>
  <si>
    <t xml:space="preserve">Ұсынылады: қарапайым тапсырмалар          </t>
  </si>
  <si>
    <t xml:space="preserve">Ұсынылады: пазл, сұрыптау  </t>
  </si>
  <si>
    <t>Ұсынылады: құрылымдалған сабақтар</t>
  </si>
  <si>
    <t>Ұсынылады: эмоцияларды талқылау</t>
  </si>
  <si>
    <t xml:space="preserve">Ұсынылады: рөлдік ойындар        </t>
  </si>
  <si>
    <t>Ұсынылады: психолог көмегі</t>
  </si>
  <si>
    <t xml:space="preserve">Ұсынылады: бірлескен ойындар      </t>
  </si>
  <si>
    <t xml:space="preserve">Ұсынылады: қарым-қатынас ережелері     </t>
  </si>
  <si>
    <t>Ұсынылады: маман қолдауы</t>
  </si>
  <si>
    <t>Ұсынылады: дербестікті ынталандыру</t>
  </si>
  <si>
    <t>Ұсынылады: дағдыларды жаттықтыру</t>
  </si>
  <si>
    <t>Ұсынылады: күнделікті қолдау</t>
  </si>
  <si>
    <t>Специалист</t>
  </si>
  <si>
    <t>Физиотерапевт / ЛФК</t>
  </si>
  <si>
    <t>Емдік дене шынықтыру, физиотерапия</t>
  </si>
  <si>
    <t>Эрготерапевт</t>
  </si>
  <si>
    <t>Эрготерапия, сенсорлық интеграция</t>
  </si>
  <si>
    <t>Логопед</t>
  </si>
  <si>
    <t>Логопедиялық сабақтар, AAC</t>
  </si>
  <si>
    <t>Нейропсихолог</t>
  </si>
  <si>
    <t>Нейропсихологиялық коррекция</t>
  </si>
  <si>
    <t>Психолог</t>
  </si>
  <si>
    <t>Мінез-құлық терапиясы, арт-терапия</t>
  </si>
  <si>
    <t>Поведенческий терапевт / АВА</t>
  </si>
  <si>
    <t>АВА-терапия, әлеуметтік топтар</t>
  </si>
  <si>
    <t>Тұрмыстық реабилитация</t>
  </si>
  <si>
    <t>Нейрофункция</t>
  </si>
  <si>
    <t>Байланысты салалар</t>
  </si>
  <si>
    <t>Индекс (0–1)</t>
  </si>
  <si>
    <t>Моторлық бақылау</t>
  </si>
  <si>
    <t>Физика, Ұсақ моторика</t>
  </si>
  <si>
    <t>Сенсорлық интеграция</t>
  </si>
  <si>
    <t>Физика, Эмоциялар</t>
  </si>
  <si>
    <t>Атқарушы функциялар</t>
  </si>
  <si>
    <t>Коммуникация</t>
  </si>
  <si>
    <t>Сөйлеу, Әлеуметтік</t>
  </si>
  <si>
    <t>Өзін-өзі реттеу</t>
  </si>
  <si>
    <t>Бейімделу</t>
  </si>
  <si>
    <t>Ең осал функция</t>
  </si>
  <si>
    <t>Сенсорлық жүйе</t>
  </si>
  <si>
    <t>Ұсынылатын тәжірибелер</t>
  </si>
  <si>
    <t xml:space="preserve">Көру </t>
  </si>
  <si>
    <t>Когнитив, Ұсақ моторикасы</t>
  </si>
  <si>
    <t>Қарама-қарсы заттармен ойындар, сұрыптау</t>
  </si>
  <si>
    <t>Есту</t>
  </si>
  <si>
    <t>Дыбыстық ойындар, музыкалық сабақтар</t>
  </si>
  <si>
    <t>Тактильдік жүйе</t>
  </si>
  <si>
    <t>Эмоциялар, Ұсақ моторикасы</t>
  </si>
  <si>
    <t>Текстуралармен ойындар, саусақ жаттығулары</t>
  </si>
  <si>
    <t>Проприоцепция</t>
  </si>
  <si>
    <t>Кедергімен жаттығулар, массаж</t>
  </si>
  <si>
    <t>Вестибулярлық жүйе</t>
  </si>
  <si>
    <t>Тербелмелер, тепе-теңдік жаттығулары</t>
  </si>
  <si>
    <t>Интероцепция</t>
  </si>
  <si>
    <t>Тамақтану мен ұйқы режимі, саналылық</t>
  </si>
  <si>
    <t>Ең осал жүйе</t>
  </si>
  <si>
    <t>Себеп түрі</t>
  </si>
  <si>
    <t>Индикатор</t>
  </si>
  <si>
    <t>Қорытынды</t>
  </si>
  <si>
    <t>Ұсынылатын көмек</t>
  </si>
  <si>
    <t>Моторлық</t>
  </si>
  <si>
    <t>ЛФК, физиотерапия</t>
  </si>
  <si>
    <t>Сенсорлық</t>
  </si>
  <si>
    <t>Коммуникативтік</t>
  </si>
  <si>
    <t>Эмоциялық</t>
  </si>
  <si>
    <t>Эрготерапия</t>
  </si>
  <si>
    <t>Себептер жиынтық қорытындысы</t>
  </si>
  <si>
    <t>Басым себеп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</si>
</sst>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"/>
  </numFmts>
  <fonts count="41" x14ac:knownFonts="1">
    <font>
      <sz val="11"/>
      <color theme="1"/>
      <name val="Calibri"/>
      <family val="2"/>
      <charset val="204"/>
    </font>
    <font>
      <b/>
      <sz val="22"/>
      <color rgb="FFFFFFFF"/>
      <name val="Calibri"/>
      <charset val="1"/>
    </font>
    <font>
      <i/>
      <sz val="9"/>
      <color rgb="FFB8CCE4"/>
      <name val="Calibri"/>
      <charset val="1"/>
    </font>
    <font>
      <sz val="10"/>
      <color theme="1"/>
      <name val="Calibri"/>
      <family val="2"/>
      <charset val="204"/>
    </font>
    <font>
      <b/>
      <sz val="11"/>
      <name val="Cambria"/>
      <charset val="1"/>
    </font>
    <font>
      <sz val="11"/>
      <color theme="0"/>
      <name val="Calibri"/>
      <family val="2"/>
      <charset val="204"/>
    </font>
    <font>
      <i/>
      <sz val="9"/>
      <color theme="2" tint="-0.89999084444715716"/>
      <name val="Cambria"/>
      <family val="1"/>
      <charset val="204"/>
    </font>
    <font>
      <b/>
      <sz val="10"/>
      <color theme="1"/>
      <name val="Calibri"/>
      <family val="2"/>
      <charset val="204"/>
    </font>
    <font>
      <b/>
      <sz val="11"/>
      <color rgb="FFFFFFFF"/>
      <name val="Cambria"/>
      <charset val="1"/>
    </font>
    <font>
      <sz val="9"/>
      <color rgb="FF444444"/>
      <name val="Cambria"/>
      <charset val="1"/>
    </font>
    <font>
      <sz val="9"/>
      <color rgb="FF444444"/>
      <name val="Cambria"/>
      <family val="1"/>
      <charset val="204"/>
    </font>
    <font>
      <sz val="11"/>
      <color theme="1"/>
      <name val="Arial"/>
      <family val="2"/>
      <charset val="204"/>
    </font>
    <font>
      <b/>
      <sz val="11"/>
      <color rgb="FFFFFFFF"/>
      <name val="Cambria"/>
      <family val="1"/>
      <charset val="204"/>
    </font>
    <font>
      <b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u/>
      <sz val="14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FFFF"/>
      <name val="Cambria"/>
      <charset val="1"/>
    </font>
    <font>
      <b/>
      <sz val="10"/>
      <color rgb="FFFFFFFF"/>
      <name val="Cambria"/>
      <charset val="1"/>
    </font>
    <font>
      <b/>
      <sz val="10"/>
      <color rgb="FF2E75B6"/>
      <name val="Cambria"/>
      <charset val="1"/>
    </font>
    <font>
      <sz val="10"/>
      <name val="Cambria"/>
      <charset val="1"/>
    </font>
    <font>
      <i/>
      <sz val="10"/>
      <color rgb="FF333333"/>
      <name val="Cambria"/>
      <charset val="1"/>
    </font>
    <font>
      <i/>
      <sz val="8"/>
      <color rgb="FF888888"/>
      <name val="Cambria"/>
      <charset val="1"/>
    </font>
    <font>
      <b/>
      <i/>
      <sz val="8.5"/>
      <color theme="1"/>
      <name val="Calibri"/>
      <family val="2"/>
      <charset val="204"/>
    </font>
    <font>
      <sz val="8.5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Cambria"/>
      <family val="1"/>
      <charset val="204"/>
    </font>
    <font>
      <i/>
      <sz val="10"/>
      <color rgb="FFB8CCE4"/>
      <name val="Calibri"/>
      <family val="2"/>
      <charset val="204"/>
    </font>
    <font>
      <b/>
      <sz val="14"/>
      <color rgb="FF1F4E79"/>
      <name val="Calibri"/>
      <family val="2"/>
      <charset val="204"/>
    </font>
    <font>
      <b/>
      <sz val="13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1F4E79"/>
      <name val="Calibri"/>
      <family val="2"/>
      <charset val="204"/>
    </font>
    <font>
      <sz val="10"/>
      <color rgb="FF444444"/>
      <name val="Calibri"/>
      <family val="2"/>
      <charset val="204"/>
    </font>
    <font>
      <i/>
      <sz val="9"/>
      <color rgb="FFB8CCE4"/>
      <name val="Calibri"/>
      <family val="2"/>
      <charset val="204"/>
    </font>
    <font>
      <b/>
      <sz val="11"/>
      <name val="Cambria"/>
      <family val="1"/>
      <charset val="204"/>
    </font>
    <font>
      <b/>
      <sz val="10.5"/>
      <color theme="1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rgb="FF1F4E79"/>
        <bgColor rgb="FF376092"/>
      </patternFill>
    </fill>
    <fill>
      <patternFill patternType="solid">
        <fgColor rgb="FFC55A11"/>
        <bgColor rgb="FFE46C0A"/>
      </patternFill>
    </fill>
    <fill>
      <patternFill patternType="solid">
        <fgColor rgb="FF2E75B6"/>
        <bgColor rgb="FF4472C4"/>
      </patternFill>
    </fill>
    <fill>
      <patternFill patternType="solid">
        <fgColor rgb="FFD5E3F5"/>
        <bgColor rgb="FFDDDDDD"/>
      </patternFill>
    </fill>
    <fill>
      <patternFill patternType="solid">
        <fgColor rgb="FFF2F2F2"/>
        <bgColor rgb="FFE8EFF7"/>
      </patternFill>
    </fill>
    <fill>
      <patternFill patternType="solid">
        <fgColor rgb="FFE2EFDA"/>
        <bgColor rgb="FFE8EFF7"/>
      </patternFill>
    </fill>
    <fill>
      <patternFill patternType="solid">
        <fgColor theme="6"/>
        <bgColor rgb="FF92D050"/>
      </patternFill>
    </fill>
    <fill>
      <patternFill patternType="solid">
        <fgColor rgb="FF92D050"/>
        <bgColor rgb="FF9BBB59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C55A11"/>
      </patternFill>
    </fill>
    <fill>
      <patternFill patternType="solid">
        <fgColor rgb="FFFF0000"/>
        <bgColor rgb="FF800000"/>
      </patternFill>
    </fill>
    <fill>
      <patternFill patternType="solid">
        <fgColor theme="9" tint="0.39957884456923126"/>
        <bgColor rgb="FFC3D69B"/>
      </patternFill>
    </fill>
    <fill>
      <patternFill patternType="solid">
        <fgColor theme="6" tint="0.39957884456923126"/>
        <bgColor rgb="FFD9D9D9"/>
      </patternFill>
    </fill>
    <fill>
      <patternFill patternType="solid">
        <fgColor theme="0"/>
        <bgColor rgb="FFF2F2F2"/>
      </patternFill>
    </fill>
    <fill>
      <patternFill patternType="solid">
        <fgColor rgb="FF0D7D1A"/>
        <bgColor rgb="FF008080"/>
      </patternFill>
    </fill>
    <fill>
      <patternFill patternType="solid">
        <fgColor rgb="FFE8EFF7"/>
        <bgColor rgb="FFF2F2F2"/>
      </patternFill>
    </fill>
    <fill>
      <patternFill patternType="solid">
        <fgColor rgb="FF376092"/>
        <bgColor rgb="FF2E75B6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5F7FA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C0D0E8"/>
      </left>
      <right/>
      <top style="thin">
        <color rgb="FFC0D0E8"/>
      </top>
      <bottom style="thin">
        <color rgb="FFC0D0E8"/>
      </bottom>
      <diagonal/>
    </border>
    <border>
      <left/>
      <right style="thin">
        <color rgb="FFC0D0E8"/>
      </right>
      <top style="thin">
        <color rgb="FFC0D0E8"/>
      </top>
      <bottom/>
      <diagonal/>
    </border>
    <border>
      <left/>
      <right style="thin">
        <color rgb="FFC0D0E8"/>
      </right>
      <top/>
      <bottom style="thin">
        <color rgb="FFC0D0E8"/>
      </bottom>
      <diagonal/>
    </border>
    <border>
      <left style="thin">
        <color rgb="FFC0D0E8"/>
      </left>
      <right/>
      <top/>
      <bottom/>
      <diagonal/>
    </border>
    <border>
      <left/>
      <right style="thin">
        <color rgb="FFC0D0E8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D0D8E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C5D3E8"/>
      </left>
      <right style="medium">
        <color rgb="FFC5D3E8"/>
      </right>
      <top style="medium">
        <color rgb="FFC5D3E8"/>
      </top>
      <bottom style="medium">
        <color rgb="FFC5D3E8"/>
      </bottom>
      <diagonal/>
    </border>
    <border>
      <left style="medium">
        <color rgb="FFC5D3E8"/>
      </left>
      <right style="medium">
        <color rgb="FFC5D3E8"/>
      </right>
      <top/>
      <bottom style="medium">
        <color rgb="FFC5D3E8"/>
      </bottom>
      <diagonal/>
    </border>
    <border>
      <left style="thin">
        <color rgb="FFC0D0E8"/>
      </left>
      <right/>
      <top/>
      <bottom style="thin">
        <color rgb="FFC0D0E8"/>
      </bottom>
      <diagonal/>
    </border>
    <border>
      <left/>
      <right/>
      <top style="thin">
        <color rgb="FFC0D0E8"/>
      </top>
      <bottom/>
      <diagonal/>
    </border>
    <border>
      <left/>
      <right/>
      <top/>
      <bottom style="thin">
        <color rgb="FFC0D0E8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4" xfId="0" applyBorder="1"/>
    <xf numFmtId="0" fontId="0" fillId="0" borderId="5" xfId="0" applyBorder="1"/>
    <xf numFmtId="0" fontId="3" fillId="0" borderId="0" xfId="0" applyFont="1"/>
    <xf numFmtId="1" fontId="0" fillId="0" borderId="0" xfId="0" applyNumberFormat="1"/>
    <xf numFmtId="0" fontId="3" fillId="0" borderId="0" xfId="0" applyFont="1" applyAlignment="1">
      <alignment wrapText="1"/>
    </xf>
    <xf numFmtId="0" fontId="4" fillId="0" borderId="0" xfId="0" applyFont="1"/>
    <xf numFmtId="0" fontId="5" fillId="8" borderId="0" xfId="0" applyFont="1" applyFill="1" applyAlignment="1">
      <alignment wrapText="1"/>
    </xf>
    <xf numFmtId="0" fontId="6" fillId="0" borderId="0" xfId="0" applyFont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7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9" fillId="0" borderId="6" xfId="0" applyFont="1" applyBorder="1"/>
    <xf numFmtId="0" fontId="10" fillId="0" borderId="6" xfId="0" applyFont="1" applyBorder="1"/>
    <xf numFmtId="0" fontId="3" fillId="0" borderId="0" xfId="0" applyFont="1" applyAlignment="1" applyProtection="1">
      <alignment horizontal="center"/>
      <protection hidden="1"/>
    </xf>
    <xf numFmtId="0" fontId="11" fillId="0" borderId="0" xfId="0" applyFont="1" applyProtection="1">
      <protection locked="0"/>
    </xf>
    <xf numFmtId="0" fontId="11" fillId="0" borderId="0" xfId="0" applyFont="1"/>
    <xf numFmtId="0" fontId="0" fillId="0" borderId="0" xfId="0" applyAlignment="1">
      <alignment vertical="center" wrapText="1"/>
    </xf>
    <xf numFmtId="10" fontId="0" fillId="0" borderId="0" xfId="0" applyNumberFormat="1"/>
    <xf numFmtId="0" fontId="14" fillId="0" borderId="0" xfId="0" applyFont="1"/>
    <xf numFmtId="0" fontId="0" fillId="14" borderId="0" xfId="0" applyFill="1"/>
    <xf numFmtId="0" fontId="0" fillId="14" borderId="0" xfId="0" applyFill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0" fontId="3" fillId="0" borderId="0" xfId="0" applyNumberFormat="1" applyFont="1" applyAlignment="1">
      <alignment horizontal="center" wrapText="1"/>
    </xf>
    <xf numFmtId="10" fontId="0" fillId="0" borderId="0" xfId="0" applyNumberFormat="1" applyAlignment="1">
      <alignment horizontal="center" vertical="center"/>
    </xf>
    <xf numFmtId="164" fontId="3" fillId="9" borderId="0" xfId="0" applyNumberFormat="1" applyFont="1" applyFill="1" applyAlignment="1">
      <alignment vertical="center" wrapText="1"/>
    </xf>
    <xf numFmtId="10" fontId="0" fillId="0" borderId="0" xfId="0" applyNumberFormat="1" applyAlignment="1">
      <alignment vertical="center"/>
    </xf>
    <xf numFmtId="164" fontId="0" fillId="0" borderId="0" xfId="0" applyNumberFormat="1"/>
    <xf numFmtId="165" fontId="26" fillId="0" borderId="9" xfId="0" applyNumberFormat="1" applyFont="1" applyBorder="1" applyAlignment="1">
      <alignment horizontal="left" vertical="center" wrapText="1"/>
    </xf>
    <xf numFmtId="165" fontId="26" fillId="0" borderId="0" xfId="0" applyNumberFormat="1" applyFont="1" applyAlignment="1">
      <alignment horizontal="left" vertical="center" wrapText="1"/>
    </xf>
    <xf numFmtId="165" fontId="26" fillId="0" borderId="0" xfId="0" applyNumberFormat="1" applyFont="1" applyAlignment="1">
      <alignment horizontal="left" vertical="center"/>
    </xf>
    <xf numFmtId="165" fontId="2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/>
    <xf numFmtId="164" fontId="26" fillId="0" borderId="9" xfId="0" applyNumberFormat="1" applyFont="1" applyBorder="1" applyAlignment="1">
      <alignment horizontal="left" vertical="center" wrapText="1"/>
    </xf>
    <xf numFmtId="2" fontId="0" fillId="0" borderId="0" xfId="0" applyNumberFormat="1"/>
    <xf numFmtId="0" fontId="3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2" fillId="4" borderId="0" xfId="0" applyFont="1" applyFill="1"/>
    <xf numFmtId="14" fontId="3" fillId="0" borderId="0" xfId="0" applyNumberFormat="1" applyFont="1" applyAlignment="1">
      <alignment wrapText="1"/>
    </xf>
    <xf numFmtId="14" fontId="3" fillId="0" borderId="0" xfId="0" applyNumberFormat="1" applyFont="1" applyAlignment="1">
      <alignment vertical="center" wrapText="1"/>
    </xf>
    <xf numFmtId="164" fontId="3" fillId="0" borderId="0" xfId="0" applyNumberFormat="1" applyFont="1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4" borderId="0" xfId="0" applyFill="1"/>
    <xf numFmtId="0" fontId="35" fillId="5" borderId="3" xfId="0" applyFont="1" applyFill="1" applyBorder="1" applyAlignment="1">
      <alignment horizontal="left" vertical="top" wrapText="1"/>
    </xf>
    <xf numFmtId="0" fontId="0" fillId="0" borderId="18" xfId="0" applyBorder="1"/>
    <xf numFmtId="0" fontId="0" fillId="0" borderId="3" xfId="0" applyBorder="1"/>
    <xf numFmtId="0" fontId="38" fillId="2" borderId="0" xfId="0" applyFont="1" applyFill="1" applyAlignment="1">
      <alignment horizontal="left" vertical="center"/>
    </xf>
    <xf numFmtId="0" fontId="0" fillId="0" borderId="0" xfId="0"/>
    <xf numFmtId="0" fontId="37" fillId="6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0" fillId="0" borderId="16" xfId="0" applyBorder="1"/>
    <xf numFmtId="0" fontId="32" fillId="2" borderId="0" xfId="0" applyFont="1" applyFill="1" applyAlignment="1">
      <alignment horizontal="left" vertical="center"/>
    </xf>
    <xf numFmtId="0" fontId="37" fillId="7" borderId="0" xfId="0" applyFont="1" applyFill="1" applyAlignment="1">
      <alignment horizontal="left" vertical="top" wrapText="1"/>
    </xf>
    <xf numFmtId="0" fontId="34" fillId="4" borderId="2" xfId="0" applyFont="1" applyFill="1" applyBorder="1" applyAlignment="1">
      <alignment horizontal="left" vertical="center"/>
    </xf>
    <xf numFmtId="0" fontId="0" fillId="0" borderId="17" xfId="0" applyBorder="1"/>
    <xf numFmtId="0" fontId="0" fillId="0" borderId="2" xfId="0" applyBorder="1"/>
    <xf numFmtId="0" fontId="33" fillId="0" borderId="0" xfId="0" applyFont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9" borderId="0" xfId="0" applyFont="1" applyFill="1" applyAlignment="1">
      <alignment horizontal="center"/>
    </xf>
    <xf numFmtId="0" fontId="3" fillId="9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26" fillId="0" borderId="9" xfId="0" applyNumberFormat="1" applyFont="1" applyBorder="1" applyAlignment="1">
      <alignment horizontal="center" vertical="center" wrapText="1"/>
    </xf>
    <xf numFmtId="0" fontId="0" fillId="0" borderId="11" xfId="0" applyBorder="1"/>
    <xf numFmtId="1" fontId="0" fillId="0" borderId="0" xfId="0" applyNumberForma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locked="0" hidden="1"/>
    </xf>
    <xf numFmtId="164" fontId="0" fillId="0" borderId="0" xfId="0" applyNumberFormat="1" applyAlignment="1" applyProtection="1">
      <alignment horizontal="left"/>
      <protection locked="0" hidden="1"/>
    </xf>
    <xf numFmtId="14" fontId="0" fillId="0" borderId="0" xfId="0" applyNumberFormat="1" applyAlignment="1" applyProtection="1">
      <alignment horizontal="left"/>
      <protection locked="0" hidden="1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hidden="1"/>
    </xf>
    <xf numFmtId="0" fontId="14" fillId="9" borderId="0" xfId="0" applyFont="1" applyFill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13" fillId="9" borderId="0" xfId="0" applyFont="1" applyFill="1" applyProtection="1">
      <protection hidden="1"/>
    </xf>
    <xf numFmtId="0" fontId="14" fillId="0" borderId="0" xfId="0" applyFont="1" applyAlignment="1" applyProtection="1">
      <alignment horizont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0" fillId="9" borderId="0" xfId="0" applyFill="1" applyProtection="1"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0" fillId="10" borderId="0" xfId="0" applyFill="1" applyProtection="1">
      <protection hidden="1"/>
    </xf>
    <xf numFmtId="1" fontId="0" fillId="0" borderId="0" xfId="0" applyNumberFormat="1" applyAlignment="1" applyProtection="1">
      <alignment horizontal="center" vertical="center"/>
      <protection hidden="1"/>
    </xf>
    <xf numFmtId="0" fontId="0" fillId="11" borderId="0" xfId="0" applyFill="1" applyProtection="1">
      <protection hidden="1"/>
    </xf>
    <xf numFmtId="0" fontId="0" fillId="12" borderId="0" xfId="0" applyFill="1" applyAlignment="1" applyProtection="1">
      <alignment vertical="center"/>
      <protection hidden="1"/>
    </xf>
    <xf numFmtId="0" fontId="0" fillId="12" borderId="0" xfId="0" applyFill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0" fontId="13" fillId="0" borderId="0" xfId="0" applyFont="1" applyAlignment="1" applyProtection="1">
      <alignment vertical="center" wrapText="1"/>
      <protection hidden="1"/>
    </xf>
    <xf numFmtId="0" fontId="7" fillId="0" borderId="0" xfId="0" applyFont="1" applyAlignment="1" applyProtection="1">
      <alignment vertical="center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14" fillId="13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15" fillId="0" borderId="0" xfId="0" applyFont="1" applyProtection="1">
      <protection hidden="1"/>
    </xf>
    <xf numFmtId="0" fontId="14" fillId="14" borderId="0" xfId="0" applyFont="1" applyFill="1" applyAlignment="1" applyProtection="1">
      <alignment vertical="center" wrapText="1"/>
      <protection hidden="1"/>
    </xf>
    <xf numFmtId="10" fontId="14" fillId="0" borderId="0" xfId="0" applyNumberFormat="1" applyFont="1" applyAlignment="1" applyProtection="1">
      <alignment horizontal="center" vertical="center" wrapText="1"/>
      <protection hidden="1"/>
    </xf>
    <xf numFmtId="0" fontId="16" fillId="14" borderId="0" xfId="0" applyFont="1" applyFill="1" applyAlignment="1" applyProtection="1">
      <alignment vertical="center" wrapText="1"/>
      <protection hidden="1"/>
    </xf>
    <xf numFmtId="0" fontId="16" fillId="14" borderId="7" xfId="0" applyFont="1" applyFill="1" applyBorder="1" applyAlignment="1" applyProtection="1">
      <alignment vertical="center" wrapText="1"/>
      <protection hidden="1"/>
    </xf>
    <xf numFmtId="0" fontId="40" fillId="0" borderId="0" xfId="0" applyFont="1" applyAlignment="1" applyProtection="1">
      <alignment horizontal="left" wrapText="1"/>
      <protection hidden="1"/>
    </xf>
    <xf numFmtId="0" fontId="14" fillId="15" borderId="0" xfId="0" applyFont="1" applyFill="1" applyAlignment="1" applyProtection="1">
      <alignment vertical="center" wrapText="1"/>
      <protection hidden="1"/>
    </xf>
    <xf numFmtId="10" fontId="0" fillId="0" borderId="0" xfId="0" applyNumberFormat="1" applyProtection="1">
      <protection hidden="1"/>
    </xf>
    <xf numFmtId="0" fontId="13" fillId="0" borderId="0" xfId="0" applyFont="1" applyProtection="1">
      <protection hidden="1"/>
    </xf>
    <xf numFmtId="0" fontId="17" fillId="9" borderId="0" xfId="0" applyFont="1" applyFill="1" applyProtection="1">
      <protection hidden="1"/>
    </xf>
    <xf numFmtId="0" fontId="18" fillId="9" borderId="0" xfId="0" applyFont="1" applyFill="1" applyProtection="1">
      <protection hidden="1"/>
    </xf>
    <xf numFmtId="0" fontId="14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0" fillId="9" borderId="0" xfId="0" applyFill="1" applyAlignment="1" applyProtection="1">
      <alignment vertical="center" wrapText="1"/>
      <protection hidden="1"/>
    </xf>
    <xf numFmtId="0" fontId="0" fillId="16" borderId="0" xfId="0" applyFill="1" applyProtection="1"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9" borderId="0" xfId="0" applyFill="1" applyAlignment="1" applyProtection="1">
      <alignment wrapText="1"/>
      <protection hidden="1"/>
    </xf>
    <xf numFmtId="0" fontId="19" fillId="2" borderId="0" xfId="0" applyFont="1" applyFill="1" applyAlignment="1" applyProtection="1">
      <alignment horizontal="center" vertical="center"/>
      <protection hidden="1"/>
    </xf>
    <xf numFmtId="0" fontId="20" fillId="4" borderId="0" xfId="0" applyFont="1" applyFill="1" applyAlignment="1" applyProtection="1">
      <alignment horizontal="left" vertical="center" indent="1"/>
      <protection hidden="1"/>
    </xf>
    <xf numFmtId="0" fontId="0" fillId="4" borderId="0" xfId="0" applyFill="1" applyProtection="1">
      <protection hidden="1"/>
    </xf>
    <xf numFmtId="0" fontId="21" fillId="0" borderId="8" xfId="0" applyFont="1" applyBorder="1" applyAlignment="1" applyProtection="1">
      <alignment vertical="center" indent="1"/>
      <protection hidden="1"/>
    </xf>
    <xf numFmtId="0" fontId="22" fillId="0" borderId="8" xfId="0" applyFont="1" applyBorder="1" applyAlignment="1" applyProtection="1">
      <alignment vertical="center" wrapText="1" indent="1"/>
      <protection hidden="1"/>
    </xf>
    <xf numFmtId="0" fontId="0" fillId="0" borderId="8" xfId="0" applyBorder="1" applyProtection="1">
      <protection hidden="1"/>
    </xf>
    <xf numFmtId="0" fontId="22" fillId="0" borderId="8" xfId="0" applyFont="1" applyBorder="1" applyAlignment="1" applyProtection="1">
      <alignment horizontal="left" vertical="center" wrapText="1" indent="1"/>
      <protection hidden="1"/>
    </xf>
    <xf numFmtId="0" fontId="0" fillId="17" borderId="8" xfId="0" applyFill="1" applyBorder="1" applyProtection="1">
      <protection hidden="1"/>
    </xf>
    <xf numFmtId="0" fontId="20" fillId="4" borderId="8" xfId="0" applyFont="1" applyFill="1" applyBorder="1" applyAlignment="1" applyProtection="1">
      <alignment horizontal="left" vertical="center" indent="1"/>
      <protection hidden="1"/>
    </xf>
    <xf numFmtId="0" fontId="0" fillId="4" borderId="8" xfId="0" applyFill="1" applyBorder="1" applyProtection="1">
      <protection hidden="1"/>
    </xf>
    <xf numFmtId="0" fontId="0" fillId="0" borderId="8" xfId="0" applyBorder="1" applyProtection="1">
      <protection hidden="1"/>
    </xf>
    <xf numFmtId="0" fontId="20" fillId="18" borderId="8" xfId="0" applyFont="1" applyFill="1" applyBorder="1" applyAlignment="1" applyProtection="1">
      <alignment horizontal="left" vertical="center" indent="1"/>
      <protection hidden="1"/>
    </xf>
    <xf numFmtId="0" fontId="22" fillId="0" borderId="8" xfId="0" applyFont="1" applyBorder="1" applyAlignment="1" applyProtection="1">
      <alignment vertical="center" wrapText="1" indent="1"/>
      <protection hidden="1"/>
    </xf>
    <xf numFmtId="165" fontId="22" fillId="0" borderId="8" xfId="0" applyNumberFormat="1" applyFont="1" applyBorder="1" applyAlignment="1" applyProtection="1">
      <alignment vertical="top" wrapText="1" indent="1"/>
      <protection hidden="1"/>
    </xf>
    <xf numFmtId="0" fontId="20" fillId="4" borderId="8" xfId="0" applyFont="1" applyFill="1" applyBorder="1" applyAlignment="1" applyProtection="1">
      <alignment horizontal="left" vertical="center" wrapText="1" indent="1"/>
      <protection hidden="1"/>
    </xf>
    <xf numFmtId="0" fontId="22" fillId="0" borderId="8" xfId="0" applyFont="1" applyBorder="1" applyAlignment="1" applyProtection="1">
      <alignment vertical="top" wrapText="1" indent="1"/>
      <protection hidden="1"/>
    </xf>
    <xf numFmtId="0" fontId="20" fillId="2" borderId="8" xfId="0" applyFont="1" applyFill="1" applyBorder="1" applyAlignment="1" applyProtection="1">
      <alignment horizontal="left" vertical="center" indent="1"/>
      <protection hidden="1"/>
    </xf>
    <xf numFmtId="0" fontId="0" fillId="2" borderId="8" xfId="0" applyFill="1" applyBorder="1" applyProtection="1">
      <protection hidden="1"/>
    </xf>
    <xf numFmtId="0" fontId="23" fillId="0" borderId="8" xfId="0" applyFont="1" applyBorder="1" applyAlignment="1" applyProtection="1">
      <alignment vertical="top" wrapText="1" indent="1"/>
      <protection hidden="1"/>
    </xf>
    <xf numFmtId="0" fontId="24" fillId="0" borderId="0" xfId="0" applyFont="1" applyAlignment="1" applyProtection="1">
      <alignment horizontal="left" indent="1"/>
      <protection hidden="1"/>
    </xf>
    <xf numFmtId="0" fontId="38" fillId="2" borderId="0" xfId="0" applyFont="1" applyFill="1" applyAlignment="1" applyProtection="1">
      <alignment horizontal="left"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0" fillId="14" borderId="0" xfId="0" applyFill="1" applyProtection="1">
      <protection hidden="1"/>
    </xf>
    <xf numFmtId="0" fontId="3" fillId="0" borderId="0" xfId="0" applyFont="1" applyAlignment="1" applyProtection="1">
      <alignment vertical="center" wrapText="1"/>
      <protection hidden="1"/>
    </xf>
    <xf numFmtId="0" fontId="7" fillId="14" borderId="0" xfId="0" applyFont="1" applyFill="1" applyAlignment="1" applyProtection="1">
      <alignment vertical="center"/>
      <protection hidden="1"/>
    </xf>
    <xf numFmtId="0" fontId="7" fillId="14" borderId="0" xfId="0" applyFont="1" applyFill="1" applyAlignment="1" applyProtection="1">
      <alignment vertical="center" wrapText="1"/>
      <protection hidden="1"/>
    </xf>
    <xf numFmtId="0" fontId="13" fillId="14" borderId="0" xfId="0" applyFont="1" applyFill="1" applyAlignment="1" applyProtection="1">
      <alignment vertical="center" wrapText="1"/>
      <protection hidden="1"/>
    </xf>
    <xf numFmtId="0" fontId="0" fillId="14" borderId="0" xfId="0" applyFill="1" applyAlignment="1" applyProtection="1">
      <alignment vertical="center" wrapText="1"/>
      <protection hidden="1"/>
    </xf>
    <xf numFmtId="0" fontId="39" fillId="14" borderId="0" xfId="0" applyFont="1" applyFill="1" applyAlignment="1" applyProtection="1">
      <alignment vertical="center" wrapText="1"/>
      <protection hidden="1"/>
    </xf>
    <xf numFmtId="0" fontId="39" fillId="0" borderId="0" xfId="0" applyFont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 wrapText="1"/>
      <protection hidden="1"/>
    </xf>
    <xf numFmtId="0" fontId="12" fillId="4" borderId="0" xfId="0" applyFont="1" applyFill="1" applyAlignment="1" applyProtection="1">
      <alignment horizontal="center" wrapText="1"/>
      <protection hidden="1"/>
    </xf>
    <xf numFmtId="0" fontId="8" fillId="4" borderId="0" xfId="0" applyFont="1" applyFill="1" applyAlignment="1" applyProtection="1">
      <alignment wrapText="1"/>
      <protection hidden="1"/>
    </xf>
    <xf numFmtId="0" fontId="12" fillId="4" borderId="0" xfId="0" applyFont="1" applyFill="1" applyAlignment="1" applyProtection="1">
      <alignment wrapText="1"/>
      <protection hidden="1"/>
    </xf>
    <xf numFmtId="0" fontId="3" fillId="0" borderId="0" xfId="0" applyFont="1" applyProtection="1"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0" fontId="31" fillId="0" borderId="0" xfId="0" applyFont="1" applyProtection="1">
      <protection hidden="1"/>
    </xf>
    <xf numFmtId="10" fontId="3" fillId="0" borderId="0" xfId="0" applyNumberFormat="1" applyFont="1" applyAlignment="1" applyProtection="1">
      <alignment horizontal="center"/>
      <protection hidden="1"/>
    </xf>
    <xf numFmtId="165" fontId="0" fillId="0" borderId="0" xfId="0" applyNumberFormat="1" applyProtection="1">
      <protection hidden="1"/>
    </xf>
    <xf numFmtId="0" fontId="39" fillId="0" borderId="0" xfId="0" applyFont="1" applyProtection="1">
      <protection hidden="1"/>
    </xf>
    <xf numFmtId="0" fontId="28" fillId="0" borderId="0" xfId="0" applyFont="1" applyAlignment="1" applyProtection="1">
      <alignment horizontal="justify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27" fillId="23" borderId="14" xfId="0" applyFont="1" applyFill="1" applyBorder="1" applyAlignment="1" applyProtection="1">
      <alignment vertical="center" wrapText="1"/>
      <protection hidden="1"/>
    </xf>
    <xf numFmtId="0" fontId="27" fillId="24" borderId="15" xfId="0" applyFont="1" applyFill="1" applyBorder="1" applyAlignment="1" applyProtection="1">
      <alignment vertical="center" wrapText="1"/>
      <protection hidden="1"/>
    </xf>
    <xf numFmtId="0" fontId="27" fillId="23" borderId="15" xfId="0" applyFont="1" applyFill="1" applyBorder="1" applyAlignment="1" applyProtection="1">
      <alignment vertical="center" wrapText="1"/>
      <protection hidden="1"/>
    </xf>
    <xf numFmtId="49" fontId="27" fillId="23" borderId="15" xfId="0" applyNumberFormat="1" applyFont="1" applyFill="1" applyBorder="1" applyAlignment="1" applyProtection="1">
      <alignment vertical="center" wrapText="1"/>
      <protection hidden="1"/>
    </xf>
    <xf numFmtId="166" fontId="25" fillId="0" borderId="9" xfId="0" applyNumberFormat="1" applyFont="1" applyBorder="1" applyAlignment="1" applyProtection="1">
      <alignment horizontal="center" vertical="center" wrapText="1"/>
      <protection hidden="1"/>
    </xf>
    <xf numFmtId="165" fontId="26" fillId="0" borderId="9" xfId="0" applyNumberFormat="1" applyFont="1" applyBorder="1" applyAlignment="1" applyProtection="1">
      <alignment horizontal="center" vertical="center" wrapText="1"/>
      <protection hidden="1"/>
    </xf>
    <xf numFmtId="166" fontId="26" fillId="0" borderId="9" xfId="0" applyNumberFormat="1" applyFont="1" applyBorder="1" applyAlignment="1" applyProtection="1">
      <alignment horizontal="center" vertical="center" wrapText="1"/>
      <protection hidden="1"/>
    </xf>
    <xf numFmtId="165" fontId="26" fillId="0" borderId="10" xfId="0" applyNumberFormat="1" applyFont="1" applyBorder="1" applyAlignment="1" applyProtection="1">
      <alignment horizontal="center" vertical="center" wrapText="1"/>
      <protection hidden="1"/>
    </xf>
    <xf numFmtId="2" fontId="26" fillId="0" borderId="11" xfId="0" applyNumberFormat="1" applyFont="1" applyBorder="1" applyAlignment="1" applyProtection="1">
      <alignment horizontal="center" vertical="center" wrapText="1"/>
      <protection hidden="1"/>
    </xf>
    <xf numFmtId="165" fontId="26" fillId="0" borderId="11" xfId="0" applyNumberFormat="1" applyFont="1" applyBorder="1" applyAlignment="1" applyProtection="1">
      <alignment horizontal="center" vertical="center" wrapText="1"/>
      <protection hidden="1"/>
    </xf>
    <xf numFmtId="165" fontId="26" fillId="0" borderId="9" xfId="0" applyNumberFormat="1" applyFont="1" applyBorder="1" applyAlignment="1" applyProtection="1">
      <alignment horizontal="left" vertical="center" wrapText="1"/>
      <protection hidden="1"/>
    </xf>
    <xf numFmtId="0" fontId="26" fillId="0" borderId="9" xfId="0" applyFont="1" applyBorder="1" applyAlignment="1" applyProtection="1">
      <alignment vertical="center" wrapText="1"/>
      <protection hidden="1"/>
    </xf>
    <xf numFmtId="165" fontId="26" fillId="0" borderId="9" xfId="0" applyNumberFormat="1" applyFont="1" applyBorder="1" applyAlignment="1" applyProtection="1">
      <alignment vertical="center" wrapText="1"/>
      <protection hidden="1"/>
    </xf>
    <xf numFmtId="2" fontId="26" fillId="0" borderId="9" xfId="0" applyNumberFormat="1" applyFont="1" applyBorder="1" applyAlignment="1" applyProtection="1">
      <alignment horizontal="center" vertical="center" wrapText="1"/>
      <protection hidden="1"/>
    </xf>
    <xf numFmtId="165" fontId="26" fillId="0" borderId="9" xfId="0" applyNumberFormat="1" applyFont="1" applyBorder="1" applyAlignment="1" applyProtection="1">
      <alignment wrapText="1"/>
      <protection hidden="1"/>
    </xf>
    <xf numFmtId="165" fontId="25" fillId="0" borderId="9" xfId="0" applyNumberFormat="1" applyFont="1" applyBorder="1" applyAlignment="1" applyProtection="1">
      <alignment vertical="center" wrapText="1"/>
      <protection hidden="1"/>
    </xf>
    <xf numFmtId="0" fontId="25" fillId="0" borderId="9" xfId="0" applyFont="1" applyBorder="1" applyAlignment="1" applyProtection="1">
      <alignment vertical="center" wrapText="1"/>
      <protection hidden="1"/>
    </xf>
    <xf numFmtId="165" fontId="26" fillId="0" borderId="0" xfId="0" applyNumberFormat="1" applyFont="1" applyAlignment="1" applyProtection="1">
      <alignment horizontal="left" vertical="center" wrapText="1"/>
      <protection hidden="1"/>
    </xf>
    <xf numFmtId="165" fontId="27" fillId="0" borderId="9" xfId="0" applyNumberFormat="1" applyFont="1" applyBorder="1" applyAlignment="1" applyProtection="1">
      <alignment horizontal="left" vertical="center" wrapText="1"/>
      <protection hidden="1"/>
    </xf>
    <xf numFmtId="165" fontId="26" fillId="0" borderId="12" xfId="0" applyNumberFormat="1" applyFont="1" applyBorder="1" applyAlignment="1" applyProtection="1">
      <alignment horizontal="left" vertical="center" wrapText="1"/>
      <protection hidden="1"/>
    </xf>
    <xf numFmtId="165" fontId="26" fillId="20" borderId="9" xfId="0" applyNumberFormat="1" applyFont="1" applyFill="1" applyBorder="1" applyAlignment="1" applyProtection="1">
      <alignment horizontal="left" vertical="center" wrapText="1"/>
      <protection hidden="1"/>
    </xf>
    <xf numFmtId="165" fontId="26" fillId="20" borderId="10" xfId="0" applyNumberFormat="1" applyFont="1" applyFill="1" applyBorder="1" applyAlignment="1" applyProtection="1">
      <alignment horizontal="left" vertical="center" wrapText="1"/>
      <protection hidden="1"/>
    </xf>
    <xf numFmtId="166" fontId="26" fillId="0" borderId="9" xfId="0" applyNumberFormat="1" applyFont="1" applyBorder="1" applyAlignment="1" applyProtection="1">
      <alignment horizontal="left" vertical="center" wrapText="1"/>
      <protection hidden="1"/>
    </xf>
    <xf numFmtId="165" fontId="26" fillId="21" borderId="9" xfId="0" applyNumberFormat="1" applyFont="1" applyFill="1" applyBorder="1" applyAlignment="1" applyProtection="1">
      <alignment horizontal="left" vertical="center" wrapText="1"/>
      <protection hidden="1"/>
    </xf>
    <xf numFmtId="165" fontId="26" fillId="21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0" borderId="13" xfId="0" applyBorder="1" applyProtection="1">
      <protection hidden="1"/>
    </xf>
    <xf numFmtId="165" fontId="26" fillId="22" borderId="9" xfId="0" applyNumberFormat="1" applyFont="1" applyFill="1" applyBorder="1" applyAlignment="1" applyProtection="1">
      <alignment horizontal="left" vertical="center" wrapText="1"/>
      <protection hidden="1"/>
    </xf>
    <xf numFmtId="165" fontId="26" fillId="22" borderId="10" xfId="0" applyNumberFormat="1" applyFont="1" applyFill="1" applyBorder="1" applyAlignment="1" applyProtection="1">
      <alignment horizontal="left" vertical="center" wrapText="1"/>
      <protection hidden="1"/>
    </xf>
    <xf numFmtId="165" fontId="26" fillId="19" borderId="9" xfId="0" applyNumberFormat="1" applyFont="1" applyFill="1" applyBorder="1" applyAlignment="1" applyProtection="1">
      <alignment horizontal="left" vertical="center" wrapText="1"/>
      <protection hidden="1"/>
    </xf>
    <xf numFmtId="165" fontId="26" fillId="19" borderId="10" xfId="0" applyNumberFormat="1" applyFont="1" applyFill="1" applyBorder="1" applyAlignment="1" applyProtection="1">
      <alignment horizontal="left" vertical="center" wrapText="1"/>
      <protection hidden="1"/>
    </xf>
    <xf numFmtId="165" fontId="26" fillId="0" borderId="9" xfId="0" applyNumberFormat="1" applyFont="1" applyBorder="1" applyAlignment="1" applyProtection="1">
      <alignment horizontal="left" vertical="center"/>
      <protection hidden="1"/>
    </xf>
    <xf numFmtId="165" fontId="26" fillId="0" borderId="0" xfId="0" applyNumberFormat="1" applyFont="1" applyAlignment="1" applyProtection="1">
      <alignment horizontal="left" vertical="center"/>
      <protection hidden="1"/>
    </xf>
    <xf numFmtId="166" fontId="26" fillId="0" borderId="0" xfId="0" applyNumberFormat="1" applyFont="1" applyAlignment="1" applyProtection="1">
      <alignment horizontal="left"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horizontal="center"/>
      <protection hidden="1"/>
    </xf>
    <xf numFmtId="2" fontId="0" fillId="0" borderId="0" xfId="0" applyNumberFormat="1" applyAlignment="1" applyProtection="1">
      <alignment horizontal="center"/>
      <protection hidden="1"/>
    </xf>
  </cellXfs>
  <cellStyles count="1">
    <cellStyle name="Обычный" xfId="0" builtinId="0"/>
  </cellStyles>
  <dxfs count="13"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D7D1A"/>
      <rgbColor rgb="FF000080"/>
      <rgbColor rgb="FF9BBB59"/>
      <rgbColor rgb="FF800080"/>
      <rgbColor rgb="FF4A7EBB"/>
      <rgbColor rgb="FFB3B3B3"/>
      <rgbColor rgb="FF878787"/>
      <rgbColor rgb="FFA6A6A6"/>
      <rgbColor rgb="FF993366"/>
      <rgbColor rgb="FFF2F2F2"/>
      <rgbColor rgb="FFE8EFF7"/>
      <rgbColor rgb="FF660066"/>
      <rgbColor rgb="FFFF8080"/>
      <rgbColor rgb="FF2E75B6"/>
      <rgbColor rgb="FFC0D0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5E3F5"/>
      <rgbColor rgb="FFE2EFDA"/>
      <rgbColor rgb="FFDDDDDD"/>
      <rgbColor rgb="FFB8CCE4"/>
      <rgbColor rgb="FFD9D9D9"/>
      <rgbColor rgb="FFD0D8E4"/>
      <rgbColor rgb="FFFAC090"/>
      <rgbColor rgb="FF4472C4"/>
      <rgbColor rgb="FF33CCCC"/>
      <rgbColor rgb="FF92D050"/>
      <rgbColor rgb="FFC3D69B"/>
      <rgbColor rgb="FFFF9900"/>
      <rgbColor rgb="FFE46C0A"/>
      <rgbColor rgb="FF376092"/>
      <rgbColor rgb="FF888888"/>
      <rgbColor rgb="FF1F4E79"/>
      <rgbColor rgb="FF00B050"/>
      <rgbColor rgb="FF444444"/>
      <rgbColor rgb="FF1E1C11"/>
      <rgbColor rgb="FFC55A11"/>
      <rgbColor rgb="FF993366"/>
      <rgbColor rgb="FF40315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Баланың</a:t>
            </a:r>
            <a:r>
              <a:rPr lang="ru-RU" sz="1800" b="1" strike="noStrike" spc="-1" baseline="0">
                <a:solidFill>
                  <a:srgbClr val="000000"/>
                </a:solidFill>
                <a:latin typeface="Calibri"/>
              </a:rPr>
              <a:t> даму профил</a:t>
            </a:r>
            <a:r>
              <a:rPr lang="kk-KZ" sz="1800" b="1" strike="noStrike" spc="-1" baseline="0">
                <a:solidFill>
                  <a:srgbClr val="000000"/>
                </a:solidFill>
                <a:latin typeface="Calibri"/>
              </a:rPr>
              <a:t>і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57-44F7-95E5-7ACFBF245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823997"/>
        <c:axId val="61553688"/>
      </c:radarChart>
      <c:catAx>
        <c:axId val="90823997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1553688"/>
        <c:crosses val="autoZero"/>
        <c:auto val="1"/>
        <c:lblAlgn val="ctr"/>
        <c:lblOffset val="100"/>
        <c:noMultiLvlLbl val="0"/>
      </c:catAx>
      <c:valAx>
        <c:axId val="61553688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90823997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Баланың даму графигі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профиль!$F$1</c:f>
              <c:strCache>
                <c:ptCount val="1"/>
                <c:pt idx="0">
                  <c:v>Жастан %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1-4E7B-9417-0BB2958DA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31217"/>
        <c:axId val="70888126"/>
      </c:barChart>
      <c:lineChart>
        <c:grouping val="standard"/>
        <c:varyColors val="0"/>
        <c:ser>
          <c:idx val="1"/>
          <c:order val="1"/>
          <c:tx>
            <c:strRef>
              <c:f>профиль!$N$1</c:f>
              <c:strCache>
                <c:ptCount val="1"/>
                <c:pt idx="0">
                  <c:v>Норма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C3D1-4E7B-9417-0BB2958DAD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33131217"/>
        <c:axId val="70888126"/>
      </c:lineChart>
      <c:catAx>
        <c:axId val="3313121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0888126"/>
        <c:crosses val="autoZero"/>
        <c:auto val="1"/>
        <c:lblAlgn val="ctr"/>
        <c:lblOffset val="100"/>
        <c:noMultiLvlLbl val="0"/>
      </c:catAx>
      <c:valAx>
        <c:axId val="70888126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дағдылардың</a:t>
                </a:r>
                <a:r>
                  <a:rPr lang="ru-RU" sz="1000" b="1" strike="noStrike" spc="-1" baseline="0">
                    <a:solidFill>
                      <a:srgbClr val="000000"/>
                    </a:solidFill>
                    <a:latin typeface="Calibri"/>
                  </a:rPr>
                  <a:t> меңгерілу </a:t>
                </a:r>
                <a:r>
                  <a:rPr lang="en-US" sz="1000" b="1" strike="noStrike" spc="-1" baseline="0">
                    <a:solidFill>
                      <a:srgbClr val="000000"/>
                    </a:solidFill>
                    <a:latin typeface="Calibri"/>
                  </a:rPr>
                  <a:t>%</a:t>
                </a: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 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3131217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Уақыт бойынша даму динамикасы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НҰСҚАУЛЫҚ!$B$12</c:f>
              <c:strCache>
                <c:ptCount val="1"/>
                <c:pt idx="0">
                  <c:v>Орташа индекс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0A-4E7C-810B-A26A6B97A3AE}"/>
            </c:ext>
          </c:extLst>
        </c:ser>
        <c:ser>
          <c:idx val="1"/>
          <c:order val="1"/>
          <c:tx>
            <c:strRef>
              <c:f>НҰСҚАУЛЫҚ!$C$12</c:f>
              <c:strCache>
                <c:ptCount val="1"/>
                <c:pt idx="0">
                  <c:v>Дене дамуы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80A-4E7C-810B-A26A6B97A3AE}"/>
            </c:ext>
          </c:extLst>
        </c:ser>
        <c:ser>
          <c:idx val="2"/>
          <c:order val="2"/>
          <c:tx>
            <c:strRef>
              <c:f>НҰСҚАУЛЫҚ!$D$12</c:f>
              <c:strCache>
                <c:ptCount val="1"/>
                <c:pt idx="0">
                  <c:v>Моторика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0A-4E7C-810B-A26A6B97A3AE}"/>
            </c:ext>
          </c:extLst>
        </c:ser>
        <c:ser>
          <c:idx val="3"/>
          <c:order val="3"/>
          <c:tx>
            <c:strRef>
              <c:f>НҰСҚАУЛЫҚ!$E$12</c:f>
              <c:strCache>
                <c:ptCount val="1"/>
                <c:pt idx="0">
                  <c:v>Сөйлеу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80A-4E7C-810B-A26A6B97A3AE}"/>
            </c:ext>
          </c:extLst>
        </c:ser>
        <c:ser>
          <c:idx val="4"/>
          <c:order val="4"/>
          <c:tx>
            <c:strRef>
              <c:f>НҰСҚАУЛЫҚ!$F$12</c:f>
              <c:strCache>
                <c:ptCount val="1"/>
                <c:pt idx="0">
                  <c:v>Танымдық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80A-4E7C-810B-A26A6B97A3AE}"/>
            </c:ext>
          </c:extLst>
        </c:ser>
        <c:ser>
          <c:idx val="5"/>
          <c:order val="5"/>
          <c:tx>
            <c:strRef>
              <c:f>НҰСҚАУЛЫҚ!$G$12</c:f>
              <c:strCache>
                <c:ptCount val="1"/>
                <c:pt idx="0">
                  <c:v>Эмоциялар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0A-4E7C-810B-A26A6B97A3AE}"/>
            </c:ext>
          </c:extLst>
        </c:ser>
        <c:ser>
          <c:idx val="6"/>
          <c:order val="6"/>
          <c:tx>
            <c:strRef>
              <c:f>НҰСҚАУЛЫҚ!$H$12</c:f>
              <c:strCache>
                <c:ptCount val="1"/>
                <c:pt idx="0">
                  <c:v>Әлеуметтік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80A-4E7C-810B-A26A6B97A3AE}"/>
            </c:ext>
          </c:extLst>
        </c:ser>
        <c:ser>
          <c:idx val="7"/>
          <c:order val="7"/>
          <c:tx>
            <c:strRef>
              <c:f>НҰСҚАУЛЫҚ!$I$12</c:f>
              <c:strCache>
                <c:ptCount val="1"/>
                <c:pt idx="0">
                  <c:v>Өзіне-өзі қызмет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0A-4E7C-810B-A26A6B97A3AE}"/>
            </c:ext>
          </c:extLst>
        </c:ser>
        <c:ser>
          <c:idx val="8"/>
          <c:order val="8"/>
          <c:tx>
            <c:strRef>
              <c:f>НҰСҚАУЛЫҚ!$J$12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НҰСҚАУЛЫҚ!$J$13:$J$15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0A-4E7C-810B-A26A6B97A3AE}"/>
            </c:ext>
          </c:extLst>
        </c:ser>
        <c:ser>
          <c:idx val="9"/>
          <c:order val="9"/>
          <c:tx>
            <c:strRef>
              <c:f>НҰСҚАУЛЫҚ!$K$12</c:f>
              <c:strCache>
                <c:ptCount val="1"/>
                <c:pt idx="0">
                  <c:v>Норма (90%)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НҰСҚАУЛЫҚ!$K$13:$K$15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0A-4E7C-810B-A26A6B97A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256368"/>
        <c:axId val="385816512"/>
      </c:lineChart>
      <c:dateAx>
        <c:axId val="4292563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5816512"/>
        <c:crosses val="autoZero"/>
        <c:auto val="1"/>
        <c:lblOffset val="100"/>
        <c:baseTimeUnit val="days"/>
      </c:dateAx>
      <c:valAx>
        <c:axId val="38581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925636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Баланың</a:t>
            </a:r>
            <a:r>
              <a:rPr lang="ru-RU" sz="1800" b="1" strike="noStrike" spc="-1" baseline="0">
                <a:solidFill>
                  <a:srgbClr val="000000"/>
                </a:solidFill>
                <a:latin typeface="Calibri"/>
              </a:rPr>
              <a:t> даму профил</a:t>
            </a:r>
            <a:r>
              <a:rPr lang="kk-KZ" sz="1800" b="1" strike="noStrike" spc="-1" baseline="0">
                <a:solidFill>
                  <a:srgbClr val="000000"/>
                </a:solidFill>
                <a:latin typeface="Calibri"/>
              </a:rPr>
              <a:t>і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18-401F-8C98-BBB1AAAFB599}"/>
            </c:ext>
          </c:extLst>
        </c:ser>
        <c:ser>
          <c:idx val="1"/>
          <c:order val="1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18-401F-8C98-BBB1AAAFB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823997"/>
        <c:axId val="61553688"/>
      </c:radarChart>
      <c:catAx>
        <c:axId val="90823997"/>
        <c:scaling>
          <c:orientation val="maxMin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1553688"/>
        <c:crosses val="autoZero"/>
        <c:auto val="1"/>
        <c:lblAlgn val="ctr"/>
        <c:lblOffset val="100"/>
        <c:noMultiLvlLbl val="0"/>
      </c:catAx>
      <c:valAx>
        <c:axId val="61553688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90823997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ru-RU" sz="1800" b="1" strike="noStrike" spc="-1">
                <a:solidFill>
                  <a:srgbClr val="000000"/>
                </a:solidFill>
                <a:latin typeface="Calibri"/>
              </a:rPr>
              <a:t>Баланың даму графигі</a:t>
            </a: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профиль!$F$1</c:f>
              <c:strCache>
                <c:ptCount val="1"/>
                <c:pt idx="0">
                  <c:v>Жастан %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75-4014-B962-535754F6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31217"/>
        <c:axId val="70888126"/>
      </c:barChart>
      <c:lineChart>
        <c:grouping val="standard"/>
        <c:varyColors val="0"/>
        <c:ser>
          <c:idx val="1"/>
          <c:order val="1"/>
          <c:tx>
            <c:strRef>
              <c:f>профиль!$N$1</c:f>
              <c:strCache>
                <c:ptCount val="1"/>
                <c:pt idx="0">
                  <c:v>Норма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профиль!$A$2:$A$8</c:f>
              <c:strCache>
                <c:ptCount val="7"/>
                <c:pt idx="0">
                  <c:v>Дене дамуы</c:v>
                </c:pt>
                <c:pt idx="1">
                  <c:v>Ұсақ моторика</c:v>
                </c:pt>
                <c:pt idx="2">
                  <c:v>Сөйлеу</c:v>
                </c:pt>
                <c:pt idx="3">
                  <c:v>Танымдық</c:v>
                </c:pt>
                <c:pt idx="4">
                  <c:v>Эмоциялар</c:v>
                </c:pt>
                <c:pt idx="5">
                  <c:v>Әлеуметтік</c:v>
                </c:pt>
                <c:pt idx="6">
                  <c:v>Өзіне-өзі қызмет</c:v>
                </c:pt>
              </c:strCache>
            </c:strRef>
          </c:cat>
          <c:val>
            <c:numRef>
              <c:f>профиль!$N$2:$N$8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A75-4014-B962-535754F6B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33131217"/>
        <c:axId val="70888126"/>
      </c:lineChart>
      <c:catAx>
        <c:axId val="3313121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0888126"/>
        <c:crosses val="autoZero"/>
        <c:auto val="1"/>
        <c:lblAlgn val="ctr"/>
        <c:lblOffset val="100"/>
        <c:noMultiLvlLbl val="0"/>
      </c:catAx>
      <c:valAx>
        <c:axId val="70888126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дағдылардың</a:t>
                </a:r>
                <a:r>
                  <a:rPr lang="ru-RU" sz="1000" b="1" strike="noStrike" spc="-1" baseline="0">
                    <a:solidFill>
                      <a:srgbClr val="000000"/>
                    </a:solidFill>
                    <a:latin typeface="Calibri"/>
                  </a:rPr>
                  <a:t> меңгерілу </a:t>
                </a:r>
                <a:r>
                  <a:rPr lang="en-US" sz="1000" b="1" strike="noStrike" spc="-1" baseline="0">
                    <a:solidFill>
                      <a:srgbClr val="000000"/>
                    </a:solidFill>
                    <a:latin typeface="Calibri"/>
                  </a:rPr>
                  <a:t>%</a:t>
                </a: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 </a:t>
                </a: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33131217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>
                <a:solidFill>
                  <a:sysClr val="windowText" lastClr="000000"/>
                </a:solidFill>
              </a:rPr>
              <a:t>Уақыт бойынша даму динамикасы</a:t>
            </a: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НҰСҚАУЛЫҚ!$B$12</c:f>
              <c:strCache>
                <c:ptCount val="1"/>
                <c:pt idx="0">
                  <c:v>Орташа индекс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50-4D4D-A34E-175618AC9748}"/>
            </c:ext>
          </c:extLst>
        </c:ser>
        <c:ser>
          <c:idx val="1"/>
          <c:order val="1"/>
          <c:tx>
            <c:strRef>
              <c:f>НҰСҚАУЛЫҚ!$C$12</c:f>
              <c:strCache>
                <c:ptCount val="1"/>
                <c:pt idx="0">
                  <c:v>Дене дамуы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50-4D4D-A34E-175618AC9748}"/>
            </c:ext>
          </c:extLst>
        </c:ser>
        <c:ser>
          <c:idx val="2"/>
          <c:order val="2"/>
          <c:tx>
            <c:strRef>
              <c:f>НҰСҚАУЛЫҚ!$D$12</c:f>
              <c:strCache>
                <c:ptCount val="1"/>
                <c:pt idx="0">
                  <c:v>Моторика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50-4D4D-A34E-175618AC9748}"/>
            </c:ext>
          </c:extLst>
        </c:ser>
        <c:ser>
          <c:idx val="3"/>
          <c:order val="3"/>
          <c:tx>
            <c:strRef>
              <c:f>НҰСҚАУЛЫҚ!$E$12</c:f>
              <c:strCache>
                <c:ptCount val="1"/>
                <c:pt idx="0">
                  <c:v>Сөйлеу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550-4D4D-A34E-175618AC9748}"/>
            </c:ext>
          </c:extLst>
        </c:ser>
        <c:ser>
          <c:idx val="4"/>
          <c:order val="4"/>
          <c:tx>
            <c:strRef>
              <c:f>НҰСҚАУЛЫҚ!$F$12</c:f>
              <c:strCache>
                <c:ptCount val="1"/>
                <c:pt idx="0">
                  <c:v>Танымдық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550-4D4D-A34E-175618AC9748}"/>
            </c:ext>
          </c:extLst>
        </c:ser>
        <c:ser>
          <c:idx val="5"/>
          <c:order val="5"/>
          <c:tx>
            <c:strRef>
              <c:f>НҰСҚАУЛЫҚ!$G$12</c:f>
              <c:strCache>
                <c:ptCount val="1"/>
                <c:pt idx="0">
                  <c:v>Эмоциялар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50-4D4D-A34E-175618AC9748}"/>
            </c:ext>
          </c:extLst>
        </c:ser>
        <c:ser>
          <c:idx val="6"/>
          <c:order val="6"/>
          <c:tx>
            <c:strRef>
              <c:f>НҰСҚАУЛЫҚ!$H$12</c:f>
              <c:strCache>
                <c:ptCount val="1"/>
                <c:pt idx="0">
                  <c:v>Әлеуметтік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550-4D4D-A34E-175618AC9748}"/>
            </c:ext>
          </c:extLst>
        </c:ser>
        <c:ser>
          <c:idx val="7"/>
          <c:order val="7"/>
          <c:tx>
            <c:strRef>
              <c:f>НҰСҚАУЛЫҚ!$I$12</c:f>
              <c:strCache>
                <c:ptCount val="1"/>
                <c:pt idx="0">
                  <c:v>Өзіне-өзі қызмет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550-4D4D-A34E-175618AC9748}"/>
            </c:ext>
          </c:extLst>
        </c:ser>
        <c:ser>
          <c:idx val="8"/>
          <c:order val="8"/>
          <c:tx>
            <c:strRef>
              <c:f>НҰСҚАУЛЫҚ!$J$12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НҰСҚАУЛЫҚ!$J$13:$J$15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550-4D4D-A34E-175618AC9748}"/>
            </c:ext>
          </c:extLst>
        </c:ser>
        <c:ser>
          <c:idx val="9"/>
          <c:order val="9"/>
          <c:tx>
            <c:strRef>
              <c:f>НҰСҚАУЛЫҚ!$K$12</c:f>
              <c:strCache>
                <c:ptCount val="1"/>
                <c:pt idx="0">
                  <c:v>Норма (90%)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НҰСҚАУЛЫҚ!$A$13:$A$15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НҰСҚАУЛЫҚ!$K$13:$K$15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550-4D4D-A34E-175618AC97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256368"/>
        <c:axId val="385816512"/>
      </c:lineChart>
      <c:dateAx>
        <c:axId val="42925636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85816512"/>
        <c:crosses val="autoZero"/>
        <c:auto val="1"/>
        <c:lblOffset val="100"/>
        <c:baseTimeUnit val="days"/>
      </c:dateAx>
      <c:valAx>
        <c:axId val="385816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29256368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hyperlink" Target="#'&#1044;&#1040;&#1052;&#1059; &#1046;&#1054;&#1057;&#1055;&#1040;&#1056;&#106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8</xdr:col>
      <xdr:colOff>300240</xdr:colOff>
      <xdr:row>18</xdr:row>
      <xdr:rowOff>71640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0</xdr:colOff>
      <xdr:row>20</xdr:row>
      <xdr:rowOff>0</xdr:rowOff>
    </xdr:from>
    <xdr:to>
      <xdr:col>8</xdr:col>
      <xdr:colOff>61200</xdr:colOff>
      <xdr:row>35</xdr:row>
      <xdr:rowOff>6120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9525</xdr:colOff>
      <xdr:row>3</xdr:row>
      <xdr:rowOff>176212</xdr:rowOff>
    </xdr:from>
    <xdr:to>
      <xdr:col>15</xdr:col>
      <xdr:colOff>542925</xdr:colOff>
      <xdr:row>18</xdr:row>
      <xdr:rowOff>61912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6511</xdr:colOff>
      <xdr:row>6</xdr:row>
      <xdr:rowOff>35280</xdr:rowOff>
    </xdr:from>
    <xdr:to>
      <xdr:col>12</xdr:col>
      <xdr:colOff>473995</xdr:colOff>
      <xdr:row>15</xdr:row>
      <xdr:rowOff>126000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388056</xdr:colOff>
      <xdr:row>9</xdr:row>
      <xdr:rowOff>176390</xdr:rowOff>
    </xdr:from>
    <xdr:to>
      <xdr:col>4</xdr:col>
      <xdr:colOff>847542</xdr:colOff>
      <xdr:row>25</xdr:row>
      <xdr:rowOff>29639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11759</xdr:colOff>
      <xdr:row>30</xdr:row>
      <xdr:rowOff>23518</xdr:rowOff>
    </xdr:from>
    <xdr:to>
      <xdr:col>11</xdr:col>
      <xdr:colOff>574086</xdr:colOff>
      <xdr:row>35</xdr:row>
      <xdr:rowOff>203200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54876</xdr:colOff>
      <xdr:row>31</xdr:row>
      <xdr:rowOff>94075</xdr:rowOff>
    </xdr:from>
    <xdr:to>
      <xdr:col>4</xdr:col>
      <xdr:colOff>2555679</xdr:colOff>
      <xdr:row>34</xdr:row>
      <xdr:rowOff>274383</xdr:rowOff>
    </xdr:to>
    <xdr:sp macro="" textlink="">
      <xdr:nvSpPr>
        <xdr:cNvPr id="5" name="Стрелка: вправо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E888B79-E901-47B5-AE65-433838226DE1}"/>
            </a:ext>
          </a:extLst>
        </xdr:cNvPr>
        <xdr:cNvSpPr/>
      </xdr:nvSpPr>
      <xdr:spPr>
        <a:xfrm>
          <a:off x="3888395" y="9485803"/>
          <a:ext cx="2500803" cy="1528703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kk-KZ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kk-KZ" sz="11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ДАМУ</a:t>
          </a:r>
          <a:r>
            <a:rPr lang="kk-KZ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ЖОСПАРЫ</a:t>
          </a:r>
        </a:p>
        <a:p>
          <a:pPr algn="ctr"/>
          <a:r>
            <a:rPr lang="kk-KZ" sz="11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(БАСУ)</a:t>
          </a:r>
          <a:endParaRPr lang="ru-RU" sz="11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E24"/>
  <sheetViews>
    <sheetView showGridLines="0" topLeftCell="A12" zoomScaleNormal="100" workbookViewId="0">
      <selection activeCell="B3" sqref="B3:E3"/>
    </sheetView>
  </sheetViews>
  <sheetFormatPr defaultColWidth="8.7265625" defaultRowHeight="14.5" x14ac:dyDescent="0.35"/>
  <cols>
    <col min="1" max="1" width="3" style="1" customWidth="1"/>
    <col min="2" max="2" width="5" style="1" customWidth="1"/>
    <col min="3" max="4" width="42" style="1" customWidth="1"/>
    <col min="5" max="5" width="3" style="1" customWidth="1"/>
  </cols>
  <sheetData>
    <row r="1" spans="2:5" ht="7.5" customHeight="1" x14ac:dyDescent="0.35">
      <c r="B1" s="2"/>
      <c r="C1" s="2"/>
      <c r="D1" s="2"/>
      <c r="E1" s="2"/>
    </row>
    <row r="2" spans="2:5" ht="7.5" customHeight="1" x14ac:dyDescent="0.35">
      <c r="B2" s="2"/>
      <c r="C2" s="2"/>
      <c r="D2" s="2"/>
      <c r="E2" s="2"/>
    </row>
    <row r="3" spans="2:5" ht="75" customHeight="1" x14ac:dyDescent="0.35">
      <c r="B3" s="66" t="s">
        <v>0</v>
      </c>
      <c r="C3" s="56"/>
      <c r="D3" s="56"/>
      <c r="E3" s="56"/>
    </row>
    <row r="4" spans="2:5" ht="30" customHeight="1" x14ac:dyDescent="0.35">
      <c r="B4" s="60" t="s">
        <v>1</v>
      </c>
      <c r="C4" s="56"/>
      <c r="D4" s="56"/>
      <c r="E4" s="56"/>
    </row>
    <row r="5" spans="2:5" ht="9.75" customHeight="1" x14ac:dyDescent="0.35">
      <c r="B5" s="3"/>
      <c r="C5" s="3"/>
      <c r="D5" s="3"/>
      <c r="E5" s="3"/>
    </row>
    <row r="6" spans="2:5" ht="15.75" customHeight="1" x14ac:dyDescent="0.35"/>
    <row r="7" spans="2:5" ht="27.75" customHeight="1" x14ac:dyDescent="0.35">
      <c r="B7" s="65" t="s">
        <v>2</v>
      </c>
      <c r="C7" s="56"/>
      <c r="D7" s="56"/>
      <c r="E7" s="56"/>
    </row>
    <row r="8" spans="2:5" ht="9.75" customHeight="1" x14ac:dyDescent="0.35"/>
    <row r="9" spans="2:5" ht="30" customHeight="1" x14ac:dyDescent="0.35">
      <c r="B9" s="58" t="s">
        <v>3</v>
      </c>
      <c r="C9" s="62" t="s">
        <v>4</v>
      </c>
      <c r="D9" s="63"/>
      <c r="E9" s="64"/>
    </row>
    <row r="10" spans="2:5" ht="81" customHeight="1" x14ac:dyDescent="0.35">
      <c r="B10" s="59"/>
      <c r="C10" s="52" t="s">
        <v>5</v>
      </c>
      <c r="D10" s="53"/>
      <c r="E10" s="54"/>
    </row>
    <row r="11" spans="2:5" ht="17.25" customHeight="1" x14ac:dyDescent="0.35">
      <c r="B11" s="4"/>
      <c r="E11" s="5"/>
    </row>
    <row r="12" spans="2:5" ht="30" customHeight="1" x14ac:dyDescent="0.35">
      <c r="B12" s="58" t="s">
        <v>6</v>
      </c>
      <c r="C12" s="62" t="s">
        <v>7</v>
      </c>
      <c r="D12" s="63"/>
      <c r="E12" s="64"/>
    </row>
    <row r="13" spans="2:5" ht="90" customHeight="1" x14ac:dyDescent="0.35">
      <c r="B13" s="59"/>
      <c r="C13" s="52" t="s">
        <v>8</v>
      </c>
      <c r="D13" s="53"/>
      <c r="E13" s="54"/>
    </row>
    <row r="14" spans="2:5" ht="7.5" customHeight="1" x14ac:dyDescent="0.35">
      <c r="B14" s="4"/>
      <c r="E14" s="5"/>
    </row>
    <row r="15" spans="2:5" ht="30" customHeight="1" x14ac:dyDescent="0.35">
      <c r="B15" s="58" t="s">
        <v>9</v>
      </c>
      <c r="C15" s="62" t="s">
        <v>10</v>
      </c>
      <c r="D15" s="63"/>
      <c r="E15" s="64"/>
    </row>
    <row r="16" spans="2:5" ht="69.75" customHeight="1" x14ac:dyDescent="0.35">
      <c r="B16" s="59"/>
      <c r="C16" s="52" t="s">
        <v>11</v>
      </c>
      <c r="D16" s="53"/>
      <c r="E16" s="54"/>
    </row>
    <row r="17" spans="2:5" ht="12" customHeight="1" x14ac:dyDescent="0.35"/>
    <row r="18" spans="2:5" ht="3.75" customHeight="1" x14ac:dyDescent="0.35">
      <c r="B18" s="51"/>
      <c r="C18" s="51"/>
      <c r="D18" s="51"/>
      <c r="E18" s="51"/>
    </row>
    <row r="19" spans="2:5" ht="9.75" customHeight="1" x14ac:dyDescent="0.35"/>
    <row r="20" spans="2:5" ht="25.5" customHeight="1" x14ac:dyDescent="0.35">
      <c r="B20" s="67" t="s">
        <v>12</v>
      </c>
      <c r="C20" s="56"/>
      <c r="D20" s="56"/>
      <c r="E20" s="56"/>
    </row>
    <row r="21" spans="2:5" ht="81.75" customHeight="1" x14ac:dyDescent="0.35">
      <c r="B21" s="57" t="s">
        <v>13</v>
      </c>
      <c r="C21" s="56"/>
      <c r="D21" s="61" t="s">
        <v>14</v>
      </c>
      <c r="E21" s="56"/>
    </row>
    <row r="22" spans="2:5" ht="21.75" customHeight="1" x14ac:dyDescent="0.35"/>
    <row r="23" spans="2:5" ht="24" customHeight="1" x14ac:dyDescent="0.35">
      <c r="B23" s="55" t="s">
        <v>15</v>
      </c>
      <c r="C23" s="56"/>
      <c r="D23" s="56"/>
      <c r="E23" s="56"/>
    </row>
    <row r="24" spans="2:5" ht="6" customHeight="1" x14ac:dyDescent="0.35">
      <c r="B24" s="3"/>
      <c r="C24" s="3"/>
      <c r="D24" s="3"/>
      <c r="E24" s="3"/>
    </row>
  </sheetData>
  <mergeCells count="16">
    <mergeCell ref="B3:E3"/>
    <mergeCell ref="B20:E20"/>
    <mergeCell ref="C15:E15"/>
    <mergeCell ref="C12:E12"/>
    <mergeCell ref="B15:B16"/>
    <mergeCell ref="C10:E10"/>
    <mergeCell ref="B4:E4"/>
    <mergeCell ref="B12:B13"/>
    <mergeCell ref="D21:E21"/>
    <mergeCell ref="C9:E9"/>
    <mergeCell ref="B7:E7"/>
    <mergeCell ref="C16:E16"/>
    <mergeCell ref="B23:E23"/>
    <mergeCell ref="B21:C21"/>
    <mergeCell ref="B9:B10"/>
    <mergeCell ref="C13:E13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N47"/>
  <sheetViews>
    <sheetView zoomScaleNormal="100" workbookViewId="0">
      <selection activeCell="E2" sqref="E2"/>
    </sheetView>
  </sheetViews>
  <sheetFormatPr defaultColWidth="8.7265625" defaultRowHeight="14.5" x14ac:dyDescent="0.35"/>
  <cols>
    <col min="1" max="1" width="14.54296875" style="1" customWidth="1"/>
    <col min="2" max="2" width="11.26953125" style="1" customWidth="1"/>
    <col min="3" max="3" width="9.453125" style="1" customWidth="1"/>
    <col min="4" max="4" width="10.453125" style="1" customWidth="1"/>
    <col min="5" max="5" width="7.1796875" style="1" customWidth="1"/>
    <col min="6" max="6" width="8.453125" style="1" customWidth="1"/>
    <col min="7" max="10" width="8.54296875" style="1" customWidth="1"/>
    <col min="11" max="11" width="18.1796875" style="1" customWidth="1"/>
    <col min="12" max="12" width="22.54296875" style="1" customWidth="1"/>
    <col min="13" max="13" width="30.453125" style="1" customWidth="1"/>
  </cols>
  <sheetData>
    <row r="1" spans="1:14" ht="33.75" customHeight="1" x14ac:dyDescent="0.35">
      <c r="A1" s="171" t="s">
        <v>59</v>
      </c>
      <c r="B1" s="171" t="s">
        <v>292</v>
      </c>
      <c r="C1" s="171" t="s">
        <v>293</v>
      </c>
      <c r="D1" s="171" t="s">
        <v>48</v>
      </c>
      <c r="E1" s="171" t="s">
        <v>294</v>
      </c>
      <c r="F1" s="171" t="s">
        <v>295</v>
      </c>
      <c r="G1" s="171" t="s">
        <v>296</v>
      </c>
      <c r="H1" s="171" t="s">
        <v>297</v>
      </c>
      <c r="I1" s="171" t="s">
        <v>298</v>
      </c>
      <c r="J1" s="171" t="s">
        <v>299</v>
      </c>
      <c r="K1" s="171" t="s">
        <v>248</v>
      </c>
      <c r="L1" s="171" t="s">
        <v>300</v>
      </c>
      <c r="M1" s="171" t="s">
        <v>223</v>
      </c>
      <c r="N1" s="87" t="s">
        <v>301</v>
      </c>
    </row>
    <row r="2" spans="1:14" ht="40.5" customHeight="1" x14ac:dyDescent="0.35">
      <c r="A2" s="172" t="s">
        <v>29</v>
      </c>
      <c r="B2" s="173" t="str">
        <f>IFERROR(AVERAGEIFS(БАЗА!B:B,БАЗА!A:A,A2,БАЗА!C:C,1),"")</f>
        <v/>
      </c>
      <c r="C2" s="173" t="str">
        <f t="shared" ref="C2:C8" si="0">IFERROR(B2/12,"")</f>
        <v/>
      </c>
      <c r="D2" s="173">
        <f>ПАСПОРТ!B5</f>
        <v>0</v>
      </c>
      <c r="E2" s="173" t="str">
        <f>IF(B2="","", B2-D2)</f>
        <v/>
      </c>
      <c r="F2" s="174">
        <f>IFERROR(B2/D2,0)</f>
        <v>0</v>
      </c>
      <c r="G2" s="175">
        <f t="shared" ref="G2:G8" si="1">IF(OR(B2="",D2=0),0,B2/D2)</f>
        <v>0</v>
      </c>
      <c r="H2" s="176">
        <f t="shared" ref="H2:H8" si="2">0.9</f>
        <v>0.9</v>
      </c>
      <c r="I2" s="175">
        <f>VLOOKUP(A2,БАЗА!F:G,2,FALSE())</f>
        <v>0.2</v>
      </c>
      <c r="J2" s="176">
        <f t="shared" ref="J2:J8" si="3">F2*I2</f>
        <v>0</v>
      </c>
      <c r="K2" s="172" t="str">
        <f>IF(ПАСПОРТ!B8="Нормативтік",
IF(F3&gt;=0.9," Жас нормасы",
IF(F3&gt;=0.75," Жеңіл кешеу",
IF(F3&gt;=0.5," Орташа кешеу",
" Айқын кешеу"))),
IF(F3&gt;=0.9,"Күшті аймақ",
IF(F3&gt;=0.75," Жасқа жақын",
IF(F3&gt;=0.5,"Даму аймағы",
" Күшейтілген қолдауды қажет етеді"))))</f>
        <v xml:space="preserve"> Айқын кешеу</v>
      </c>
      <c r="L2" s="177" t="str">
        <f>IF(ПАСПОРТ!B8="Нормативтік",
" Даму " &amp; TEXT(F2,"0%") &amp; " жас нормасынан сәйкес келеді.",
" Функционалдық деңгейі " &amp;B2 &amp; " ай құрайды.")</f>
        <v xml:space="preserve"> Даму 0% жас нормасынан сәйкес келеді.</v>
      </c>
      <c r="M2" s="178" t="str">
        <f>IF(ПАСПОРТ!B8="Нормативтік",
IF(F4&gt;=0.9,"Саласы """ &amp; A4 &amp; """ жас нормасына сәйкес дамуда.",
IF(F4&gt;=0.75,"Саласы """ &amp; A4 &amp; """ шамалы кідіріс байқалады.",
IF(F4&gt;=0.5,"Саласы """ &amp; A4 &amp; """ жүйелі дамыту жұмысын талап етеді.",
"Саласы """ &amp; A4 &amp; """ басым түзету қолдауын талап етеді."))),
IF(F4&gt;=0.9,"Саласы """ &amp; A4 &amp; """ күшті жағы болып табылады.",
IF(F4&gt;=0.75,"Саласы """ &amp; A4 &amp; """ жас деңгейіне жақын.",
IF(F4&gt;=0.5,"Саласы """ &amp; A4 &amp; """ даму аймағында.",
"Саласы """ &amp; A4 &amp; """ қосымша қолдауды талап етеді.")))
)
&amp;
" "
&amp;
IF(F4&gt;=0.9,
"Ойындар мен күнделікті белсенділік арқылы дамуды қолдауды жалғастырыңыз.",
IF(F4&gt;=0.75,
VLOOKUP(A4,ҰСЫНЫМДАР!A:D,2,FALSE()),
IF(F4&gt;=0.5,
VLOOKUP(A4,ҰСЫНЫМДАР!A:D,3,FALSE()),
VLOOKUP(A4,ҰСЫНЫМДАР!A:D,4,FALSE())
)))</f>
        <v>Саласы "Сөйлеу" басым түзету қолдауын талап етеді. Ұсынылады: логопедиялық көмек</v>
      </c>
      <c r="N2" s="87">
        <v>0.9</v>
      </c>
    </row>
    <row r="3" spans="1:14" ht="37.5" customHeight="1" x14ac:dyDescent="0.35">
      <c r="A3" s="172" t="s">
        <v>106</v>
      </c>
      <c r="B3" s="173" t="str">
        <f>IFERROR(AVERAGEIFS(БАЗА!B:B,БАЗА!A:A,A3,БАЗА!C:C,1),"")</f>
        <v/>
      </c>
      <c r="C3" s="173" t="str">
        <f t="shared" si="0"/>
        <v/>
      </c>
      <c r="D3" s="173">
        <f>ПАСПОРТ!B5</f>
        <v>0</v>
      </c>
      <c r="E3" s="173" t="str">
        <f>IF(B2="","",B2-D2)</f>
        <v/>
      </c>
      <c r="F3" s="174">
        <f>IFERROR(B3/D3,0)</f>
        <v>0</v>
      </c>
      <c r="G3" s="175">
        <f t="shared" si="1"/>
        <v>0</v>
      </c>
      <c r="H3" s="176">
        <f t="shared" si="2"/>
        <v>0.9</v>
      </c>
      <c r="I3" s="175">
        <f>VLOOKUP(A3,БАЗА!F:G,2,FALSE())</f>
        <v>0.15</v>
      </c>
      <c r="J3" s="176">
        <f t="shared" si="3"/>
        <v>0</v>
      </c>
      <c r="K3" s="172" t="str">
        <f>IF(ПАСПОРТ!B8="Нормативтік",
IF(F4&gt;=0.9," Жас нормасы",
IF(F4&gt;=0.75," Жеңіл кешеу",
IF(F4&gt;=0.5," Орташа кешеу",
" Айқын кешеу"))),
IF(F4&gt;=0.9,"Күшті аймақ",
IF(F4&gt;=0.75," Жасқа жақын",
IF(F4&gt;=0.5,"Даму аймағы",
" Күшейтілген қолдауды қажет етеді"))))</f>
        <v xml:space="preserve"> Айқын кешеу</v>
      </c>
      <c r="L3" s="177" t="str">
        <f>IF(ПАСПОРТ!B8="Нормативтік",
" Даму " &amp; TEXT(F3,"0%") &amp; " жас нормасынан сәйкес келеді.",
" Функционалдық деңгейі " &amp;B3 &amp; " ай құрайды.")</f>
        <v xml:space="preserve"> Даму 0% жас нормасынан сәйкес келеді.</v>
      </c>
      <c r="M3" s="178" t="str">
        <f>IF(ПАСПОРТ!B8="Нормативтік",
IF(F5&gt;=0.9,"Саласы """ &amp; A5 &amp; """ жас нормасына сәйкес дамуда.",
IF(F5&gt;=0.75,"Саласы """ &amp; A5 &amp; """ шамалы кідіріс байқалады.",
IF(F5&gt;=0.5,"Саласы """ &amp; A5 &amp; """ жүйелі дамыту жұмысын талап етеді.",
"Саласы """ &amp; A5 &amp; """ басым түзету қолдауын талап етеді."))),
IF(F5&gt;=0.9,"Саласы """ &amp; A5 &amp; """ күшті жағы болып табылады.",
IF(F5&gt;=0.75,"Саласы """ &amp; A5 &amp; """ жас деңгейіне жақын.",
IF(F5&gt;=0.5,"Саласы """ &amp; A5 &amp; """ даму аймағында.",
"Саласы """ &amp; A5 &amp; """ қосымша қолдауды талап етеді.")))
)
&amp;
" "
&amp;
IF(F5&gt;=0.9,
"Ойындар мен күнделікті белсенділік арқылы дамуды қолдауды жалғастырыңыз.",
IF(F5&gt;=0.75,
VLOOKUP(A5,ҰСЫНЫМДАР!A:D,2,FALSE()),
IF(F5&gt;=0.5,
VLOOKUP(A5,ҰСЫНЫМДАР!A:D,3,FALSE()),
VLOOKUP(A5,ҰСЫНЫМДАР!A:D,4,FALSE())
)))</f>
        <v>Саласы "Танымдық" басым түзету қолдауын талап етеді. Ұсынылады: құрылымдалған сабақтар</v>
      </c>
      <c r="N3" s="87">
        <v>0.9</v>
      </c>
    </row>
    <row r="4" spans="1:14" ht="40.5" customHeight="1" x14ac:dyDescent="0.35">
      <c r="A4" s="172" t="s">
        <v>31</v>
      </c>
      <c r="B4" s="173" t="str">
        <f>IFERROR(AVERAGEIFS(БАЗА!B:B,БАЗА!A:A,A4,БАЗА!C:C,1),"")</f>
        <v/>
      </c>
      <c r="C4" s="173" t="str">
        <f t="shared" si="0"/>
        <v/>
      </c>
      <c r="D4" s="173">
        <f>ПАСПОРТ!B5</f>
        <v>0</v>
      </c>
      <c r="E4" s="173" t="str">
        <f>IF(B4="","",B4-D4)</f>
        <v/>
      </c>
      <c r="F4" s="174">
        <f>IFERROR(B2/D4,0)</f>
        <v>0</v>
      </c>
      <c r="G4" s="175">
        <f t="shared" si="1"/>
        <v>0</v>
      </c>
      <c r="H4" s="176">
        <f t="shared" si="2"/>
        <v>0.9</v>
      </c>
      <c r="I4" s="175">
        <f>VLOOKUP(A4,БАЗА!F:G,2,FALSE())</f>
        <v>0.2</v>
      </c>
      <c r="J4" s="176">
        <f t="shared" si="3"/>
        <v>0</v>
      </c>
      <c r="K4" s="172" t="str">
        <f>IF(ПАСПОРТ!B8="Нормативтік",
IF(F4&gt;=0.9," Жас нормасы",
IF(F4&gt;=0.75," Жеңіл кешеу",
IF(F4&gt;=0.5," Орташа кешеу",
" Айқын кешеу"))),
IF(F4&gt;=0.9,"Күшті аймақ",
IF(F4&gt;=0.75," Жасқа жақын",
IF(F4&gt;=0.5,"Даму аймағы",
" Күшейтілген қолдауды қажет етеді"))))</f>
        <v xml:space="preserve"> Айқын кешеу</v>
      </c>
      <c r="L4" s="177" t="str">
        <f>IF(ПАСПОРТ!B8="Нормативтік",
" Даму " &amp; TEXT(F4,"0%") &amp; " жас нормасынан сәйкес келеді.",
" Функционалдық деңгейі " &amp;B4 &amp; " ай құрайды.")</f>
        <v xml:space="preserve"> Даму 0% жас нормасынан сәйкес келеді.</v>
      </c>
      <c r="M4" s="178" t="str">
        <f>IF(ПАСПОРТ!B8="Нормативтік",
IF(F6&gt;=0.9,"Саласы """ &amp; A6 &amp; """ жас нормасына сәйкес дамуда.",
IF(F6&gt;=0.75,"Саласы """ &amp; A6 &amp; """ шамалы кідіріс байқалады.",
IF(F6&gt;=0.5,"Саласы """ &amp; A6 &amp; """ жүйелі дамыту жұмысын талап етеді.",
"Саласы """ &amp; A6 &amp; """ басым түзету қолдауын талап етеді."))),
IF(F6&gt;=0.9,"Саласы """ &amp; A6 &amp; """ күшті жағы болып табылады.",
IF(F6&gt;=0.75,"Саласы """ &amp; A6 &amp; """ жас деңгейіне жақын.",
IF(F6&gt;=0.5,"Саласы """ &amp; A6 &amp; """ даму аймағында.",
"Саласы """ &amp; A6 &amp; """ қосымша қолдауды талап етеді.")))
)
&amp;
" "
&amp;
IF(F6&gt;=0.9,
"Ойындар мен күнделікті белсенділік арқылы дамуды қолдауды жалғастырыңыз.",
IF(F6&gt;=0.75,
VLOOKUP(A6,ҰСЫНЫМДАР!A:D,2,FALSE()),
IF(F6&gt;=0.5,
VLOOKUP(A6,ҰСЫНЫМДАР!A:D,3,FALSE()),
VLOOKUP(A6,ҰСЫНЫМДАР!A:D,4,FALSE())
)))</f>
        <v>Саласы "Эмоциялар" басым түзету қолдауын талап етеді. Ұсынылады: психолог көмегі</v>
      </c>
      <c r="N4" s="87">
        <v>0.9</v>
      </c>
    </row>
    <row r="5" spans="1:14" ht="39" customHeight="1" x14ac:dyDescent="0.35">
      <c r="A5" s="172" t="s">
        <v>32</v>
      </c>
      <c r="B5" s="173" t="str">
        <f>IFERROR(AVERAGEIFS(БАЗА!B:B,БАЗА!A:A,A5,БАЗА!C:C,1),"")</f>
        <v/>
      </c>
      <c r="C5" s="173" t="str">
        <f t="shared" si="0"/>
        <v/>
      </c>
      <c r="D5" s="173">
        <f>ПАСПОРТ!B5</f>
        <v>0</v>
      </c>
      <c r="E5" s="173" t="str">
        <f>IF(B5="","",B5-D5)</f>
        <v/>
      </c>
      <c r="F5" s="174">
        <f>IFERROR(B5/D5,0)</f>
        <v>0</v>
      </c>
      <c r="G5" s="175">
        <f t="shared" si="1"/>
        <v>0</v>
      </c>
      <c r="H5" s="176">
        <f t="shared" si="2"/>
        <v>0.9</v>
      </c>
      <c r="I5" s="175">
        <f>VLOOKUP(A5,БАЗА!F:G,2,FALSE())</f>
        <v>0.15</v>
      </c>
      <c r="J5" s="176">
        <f t="shared" si="3"/>
        <v>0</v>
      </c>
      <c r="K5" s="172" t="str">
        <f>IF(ПАСПОРТ!B8="Нормативтік",
IF(F5&gt;=0.9," Жас нормасы",
IF(F5&gt;=0.75," Жеңіл кешеу",
IF(F5&gt;=0.5," Орташа кешеу",
" Айқын кешеу"))),
IF(F5&gt;=0.9,"Күшті аймақ",
IF(F5&gt;=0.75," Жасқа жақын",
IF(F5&gt;=0.5,"Даму аймағы",
" Күшейтілген қолдауды қажет етеді"))))</f>
        <v xml:space="preserve"> Айқын кешеу</v>
      </c>
      <c r="L5" s="177" t="str">
        <f>IF(ПАСПОРТ!B8="Нормативтік",
" Даму " &amp; TEXT(F5,"0%") &amp; " жас нормасынан сәйкес келеді.",
" Функционалдық деңгейі " &amp;B5 &amp; " ай құрайды.")</f>
        <v xml:space="preserve"> Даму 0% жас нормасынан сәйкес келеді.</v>
      </c>
      <c r="M5" s="178" t="str">
        <f>IF(ПАСПОРТ!B8="Нормативтік",
IF(F5&gt;=0.9,"Саласы """ &amp; A5 &amp; """ жас нормасына сәйкес дамуда.",
IF(F5&gt;=0.75,"Саласы """ &amp; A5 &amp; """ шамалы кідіріс байқалады.",
IF(F5&gt;=0.5,"Саласы """ &amp; A5 &amp; """ жүйелі дамыту жұмысын талап етеді.",
"Саласы """ &amp; A5 &amp; """ басым түзету қолдауын талап етеді."))),
IF(F5&gt;=0.9,"Саласы """ &amp; A5 &amp; """ күшті жағы болып табылады.",
IF(F5&gt;=0.75,"Саласы """ &amp; A5 &amp; """ жас деңгейіне жақын.",
IF(F5&gt;=0.5,"Саласы """ &amp; A5 &amp; """ даму аймағында.",
"Саласы """ &amp; A5 &amp; """ қосымша қолдауды талап етеді.")))
)
&amp;
" "
&amp;
IF(F5&gt;=0.9,
"Ойындар мен күнделікті белсенділік арқылы дамуды қолдауды жалғастырыңыз.",
IF(F5&gt;=0.75,
VLOOKUP(A5,ҰСЫНЫМДАР!A:D,2,FALSE()),
IF(F5&gt;=0.5,
VLOOKUP(A5,ҰСЫНЫМДАР!A:D,3,FALSE()),
VLOOKUP(A5,ҰСЫНЫМДАР!A:D,4,FALSE())
)))</f>
        <v>Саласы "Танымдық" басым түзету қолдауын талап етеді. Ұсынылады: құрылымдалған сабақтар</v>
      </c>
      <c r="N5" s="87">
        <v>0.9</v>
      </c>
    </row>
    <row r="6" spans="1:14" ht="36.75" customHeight="1" x14ac:dyDescent="0.35">
      <c r="A6" s="172" t="s">
        <v>33</v>
      </c>
      <c r="B6" s="173" t="str">
        <f>IFERROR(AVERAGEIFS(БАЗА!B:B,БАЗА!A:A,A6,БАЗА!C:C,1),"")</f>
        <v/>
      </c>
      <c r="C6" s="173" t="str">
        <f t="shared" si="0"/>
        <v/>
      </c>
      <c r="D6" s="173">
        <f>ПАСПОРТ!B5</f>
        <v>0</v>
      </c>
      <c r="E6" s="173" t="str">
        <f>IF(B6="","",B6-D6)</f>
        <v/>
      </c>
      <c r="F6" s="174">
        <f>IFERROR(B6/D6,0)</f>
        <v>0</v>
      </c>
      <c r="G6" s="175">
        <f t="shared" si="1"/>
        <v>0</v>
      </c>
      <c r="H6" s="176">
        <f t="shared" si="2"/>
        <v>0.9</v>
      </c>
      <c r="I6" s="175">
        <f>VLOOKUP(A6,БАЗА!F:G,2,FALSE())</f>
        <v>0.1</v>
      </c>
      <c r="J6" s="176">
        <f t="shared" si="3"/>
        <v>0</v>
      </c>
      <c r="K6" s="172" t="str">
        <f>IF(ПАСПОРТ!B8="Нормативтік",
IF(F6&gt;=0.9," Жас нормасы",
IF(F6&gt;=0.75," Жеңіл кешеу",
IF(F6&gt;=0.5," Орташа кешеу",
" Айқын кешеу"))),
IF(F6&gt;=0.9,"Күшті аймақ",
IF(F6&gt;=0.75," Жасқа жақын",
IF(F6&gt;=0.5,"Даму аймағы",
" Күшейтілген қолдауды қажет етеді"))))</f>
        <v xml:space="preserve"> Айқын кешеу</v>
      </c>
      <c r="L6" s="177" t="str">
        <f>IF(ПАСПОРТ!B8="Нормативтік",
" Даму " &amp; TEXT(F6,"0%") &amp; " жас нормасынан сәйкес келеді.",
" Функционалдық деңгейі " &amp;B6 &amp; " ай құрайды.")</f>
        <v xml:space="preserve"> Даму 0% жас нормасынан сәйкес келеді.</v>
      </c>
      <c r="M6" s="178" t="str">
        <f>IF(ПАСПОРТ!B8="Нормативтік",
IF(F6&gt;=0.9,"Саласы """ &amp; A6 &amp; """ жас нормасына сәйкес дамуда.",
IF(F6&gt;=0.75,"Саласы """ &amp; A6 &amp; """ шамалы кідіріс байқалады.",
IF(F6&gt;=0.5,"Саласы """ &amp; A6 &amp; """ жүйелі дамыту жұмысын талап етеді.",
"Саласы """ &amp; A6 &amp; """ басым түзету қолдауын талап етеді."))),
IF(F6&gt;=0.9,"Саласы """ &amp; A6 &amp; """ күшті жағы болып табылады.",
IF(F6&gt;=0.75,"Саласы """ &amp; A6 &amp; """ жас деңгейіне жақын.",
IF(F6&gt;=0.5,"Саласы """ &amp; A6 &amp; """ даму аймағында.",
"Саласы """ &amp; A6 &amp; """ қосымша қолдауды талап етеді.")))
)
&amp;
" "
&amp;
IF(F6&gt;=0.9,
"Ойындар мен күнделікті белсенділік арқылы дамуды қолдауды жалғастырыңыз.",
IF(F6&gt;=0.75,
VLOOKUP(A6,ҰСЫНЫМДАР!A:D,2,FALSE()),
IF(F6&gt;=0.5,
VLOOKUP(A6,ҰСЫНЫМДАР!A:D,3,FALSE()),
VLOOKUP(A6,ҰСЫНЫМДАР!A:D,4,FALSE())
)))</f>
        <v>Саласы "Эмоциялар" басым түзету қолдауын талап етеді. Ұсынылады: психолог көмегі</v>
      </c>
      <c r="N6" s="87">
        <v>0.9</v>
      </c>
    </row>
    <row r="7" spans="1:14" ht="39" customHeight="1" x14ac:dyDescent="0.35">
      <c r="A7" s="172" t="s">
        <v>34</v>
      </c>
      <c r="B7" s="173" t="str">
        <f>IFERROR(AVERAGEIFS(БАЗА!B:B,БАЗА!A:A,A7,БАЗА!C:C,1),"")</f>
        <v/>
      </c>
      <c r="C7" s="173" t="str">
        <f t="shared" si="0"/>
        <v/>
      </c>
      <c r="D7" s="173">
        <f>ПАСПОРТ!B5</f>
        <v>0</v>
      </c>
      <c r="E7" s="173" t="str">
        <f>IF(B7="","",B7-D7)</f>
        <v/>
      </c>
      <c r="F7" s="174">
        <f>IFERROR(B7/D7,0)</f>
        <v>0</v>
      </c>
      <c r="G7" s="175">
        <f t="shared" si="1"/>
        <v>0</v>
      </c>
      <c r="H7" s="176">
        <f t="shared" si="2"/>
        <v>0.9</v>
      </c>
      <c r="I7" s="175">
        <f>VLOOKUP(A7,БАЗА!F:G,2,FALSE())</f>
        <v>0.1</v>
      </c>
      <c r="J7" s="176">
        <f t="shared" si="3"/>
        <v>0</v>
      </c>
      <c r="K7" s="172" t="str">
        <f>IF(ПАСПОРТ!B8="Нормативтік",
IF(F7&gt;=0.9," Жас нормасы",
IF(F7&gt;=0.75," Жеңіл кешеу",
IF(F7&gt;=0.5," Орташа кешеу",
" Айқын кешеу"))),
IF(F7&gt;=0.9,"Күшті аймақ",
IF(F7&gt;=0.75," Жасқа жақын",
IF(F7&gt;=0.5,"Даму аймағы",
" Күшейтілген қолдауды қажет етеді"))))</f>
        <v xml:space="preserve"> Айқын кешеу</v>
      </c>
      <c r="L7" s="177" t="str">
        <f>IF(ПАСПОРТ!B8="Нормативтік",
" Даму " &amp; TEXT(F7,"0%") &amp; " жас нормасынан сәйкес келеді.",
" Функционалдық деңгейі " &amp;B7 &amp; " ай құрайды.")</f>
        <v xml:space="preserve"> Даму 0% жас нормасынан сәйкес келеді.</v>
      </c>
      <c r="M7" s="178" t="str">
        <f>IF(ПАСПОРТ!B8="Нормативтік",
IF(F7&gt;=0.9,"Саласы """ &amp; A7 &amp; """ жас нормасына сәйкес дамуда.",
IF(F7&gt;=0.75,"Саласы """ &amp; A7 &amp; """ шамалы кідіріс байқалады.",
IF(F7&gt;=0.5,"Саласы """ &amp; A7 &amp; """ жүйелі дамыту жұмысын талап етеді.",
"Саласы """ &amp; A7 &amp; """ басым түзету қолдауын талап етеді."))),
IF(F7&gt;=0.9,"Саласы """ &amp; A7 &amp; """ күшті жағы болып табылады.",
IF(F7&gt;=0.75,"Саласы """ &amp; A7 &amp; """ жас деңгейіне жақын.",
IF(F7&gt;=0.5,"Саласы """ &amp; A7 &amp; """ даму аймағында.",
"Саласы """ &amp; A7 &amp; """ қосымша қолдауды талап етеді.")))
)
&amp;
" "
&amp;
IF(F7&gt;=0.9,
"Ойындар мен күнделікті белсенділік арқылы дамуды қолдауды жалғастырыңыз.",
IF(F7&gt;=0.75,
VLOOKUP(A7,ҰСЫНЫМДАР!A:D,2,FALSE()),
IF(F7&gt;=0.5,
VLOOKUP(A7,ҰСЫНЫМДАР!A:D,3,FALSE()),
VLOOKUP(A7,ҰСЫНЫМДАР!A:D,4,FALSE())
)))</f>
        <v>Саласы "Әлеуметтік" басым түзету қолдауын талап етеді. Ұсынылады: маман қолдауы</v>
      </c>
      <c r="N7" s="87">
        <v>0.9</v>
      </c>
    </row>
    <row r="8" spans="1:14" ht="51" customHeight="1" x14ac:dyDescent="0.35">
      <c r="A8" s="172" t="s">
        <v>35</v>
      </c>
      <c r="B8" s="173">
        <v>0</v>
      </c>
      <c r="C8" s="173">
        <f t="shared" si="0"/>
        <v>0</v>
      </c>
      <c r="D8" s="173">
        <f>ПАСПОРТ!B5</f>
        <v>0</v>
      </c>
      <c r="E8" s="172">
        <f>IF(B8="","",B8-D8)</f>
        <v>0</v>
      </c>
      <c r="F8" s="174">
        <f>IFERROR(B8/D8,0)</f>
        <v>0</v>
      </c>
      <c r="G8" s="175">
        <f t="shared" si="1"/>
        <v>0</v>
      </c>
      <c r="H8" s="176">
        <f t="shared" si="2"/>
        <v>0.9</v>
      </c>
      <c r="I8" s="175">
        <f>VLOOKUP(A8,БАЗА!F:G,2,FALSE())</f>
        <v>0.1</v>
      </c>
      <c r="J8" s="176">
        <f t="shared" si="3"/>
        <v>0</v>
      </c>
      <c r="K8" s="172" t="str">
        <f>IF(ПАСПОРТ!B8="Нормативтік",
IF(F8&gt;=0.9," Жас нормасы",
IF(F8&gt;=0.75," Жеңіл кешеу",
IF(F8&gt;=0.5," Орташа кешеу",
" Айқын кешеу"))),
IF(F8&gt;=0.9,"Күшті аймақ",
IF(F8&gt;=0.75," Жасқа жақын",
IF(F8&gt;=0.5,"Даму аймағы",
" Күшейтілген қолдауды қажет етеді"))))</f>
        <v xml:space="preserve"> Айқын кешеу</v>
      </c>
      <c r="L8" s="177" t="str">
        <f>IF(ПАСПОРТ!B8="Нормативтік",
" Даму " &amp; TEXT(F8,"0%") &amp; " жас нормасынан сәйкес келеді.",
" Функционалдық деңгейі " &amp;B8 &amp; " ай құрайды.")</f>
        <v xml:space="preserve"> Даму 0% жас нормасынан сәйкес келеді.</v>
      </c>
      <c r="M8" s="178" t="str">
        <f>IF(ПАСПОРТ!B8="Нормативтік",
IF(F8&gt;=0.9,"Саласы """ &amp; A8 &amp; """ жас нормасына сәйкес дамуда.",
IF(F8&gt;=0.75,"Саласы """ &amp; A8 &amp; """ шамалы кідіріс байқалады.",
IF(F8&gt;=0.5,"Саласы """ &amp; A8 &amp; """ жүйелі дамыту жұмысын талап етеді.",
"Саласы """ &amp; A8 &amp; """ басым түзету қолдауын талап етеді."))),
IF(F8&gt;=0.9,"Саласы """ &amp; A8 &amp; """ күшті жағы болып табылады.",
IF(F8&gt;=0.75,"Саласы """ &amp; A8 &amp; """ жас деңгейіне жақын.",
IF(F8&gt;=0.5,"Саласы """ &amp; A8 &amp; """ даму аймағында.",
"Саласы """ &amp; A8 &amp; """ қосымша қолдауды талап етеді.")))
)
&amp;
" "
&amp;
IF(F8&gt;=0.9,
"Ойындар мен күнделікті белсенділік арқылы дамуды қолдауды жалғастырыңыз.",
IF(F8&gt;=0.75,
VLOOKUP(A8,ҰСЫНЫМДАР!A:D,2,FALSE()),
IF(F8&gt;=0.5,
VLOOKUP(A8,ҰСЫНЫМДАР!A:D,3,FALSE()),
VLOOKUP(A8,ҰСЫНЫМДАР!A:D,4,FALSE())
)))</f>
        <v>Саласы "Өзіне-өзі қызмет" басым түзету қолдауын талап етеді. Ұсынылады: күнделікті қолдау</v>
      </c>
      <c r="N8" s="87">
        <v>0.9</v>
      </c>
    </row>
    <row r="9" spans="1:14" ht="123.75" customHeight="1" x14ac:dyDescent="0.35">
      <c r="A9" s="179" t="s">
        <v>302</v>
      </c>
      <c r="B9" s="173">
        <f>AVERAGE(B2:B8)</f>
        <v>0</v>
      </c>
      <c r="C9" s="180">
        <f>B9/12</f>
        <v>0</v>
      </c>
      <c r="D9" s="173" t="s">
        <v>303</v>
      </c>
      <c r="E9" s="173">
        <f>MIN(B2:B8)</f>
        <v>0</v>
      </c>
      <c r="F9" s="174" t="s">
        <v>304</v>
      </c>
      <c r="G9" s="173">
        <f>MAX(B2:B8)</f>
        <v>0</v>
      </c>
      <c r="H9" s="181"/>
      <c r="I9" s="181"/>
      <c r="J9" s="181"/>
      <c r="K9" s="179" t="str">
        <f>"Баланың функционалдық даму деңгейі шамамен " &amp; E9 &amp; "–" &amp; G9 &amp; " айлық диапазонға сәйкес келеді."</f>
        <v>Баланың функционалдық даму деңгейі шамамен 0–0 айлық диапазонға сәйкес келеді.</v>
      </c>
      <c r="L9" s="182" t="str">
        <f>IF(ПАСПОРТ!B8="Нормативтік",
"Дамудың орташа деңгейі " &amp; TEXT(B10,"0%") &amp;
". Күшті жағы — " &amp; B11 &amp;
". Ең назар аударатын сала — " &amp; B12 &amp;
". Салалар арасындағы айырмашылық — " &amp; TEXT(B13,"0%") &amp;
". Тәуекел деңгейі: " &amp; B30 &amp; ".",
" Функционалдық даму профилі ең айқын " &amp; B11 &amp;
". Негізгі қолдау саласы — " &amp; B12 &amp;
". Дамуды күшті жақтары арқылы жоспарлау ұсынылады."&amp; " Бұл дұрыс қолдаумен дамудың мүмкін екенін білдіреді.")</f>
        <v>Дамудың орташа деңгейі 0%. Күшті жағы — Дене дамуы. Ең назар аударатын сала — Дене дамуы. Салалар арасындағы айырмашылық — 0%. Тәуекел деңгейі: Дамудың іркілу қаупі өте жоғары.</v>
      </c>
      <c r="M9" s="183" t="s">
        <v>305</v>
      </c>
      <c r="N9" s="87"/>
    </row>
    <row r="10" spans="1:14" ht="56.25" customHeight="1" x14ac:dyDescent="0.35">
      <c r="A10" s="177" t="s">
        <v>241</v>
      </c>
      <c r="B10" s="177">
        <f>SUM(J2:J8)</f>
        <v>0</v>
      </c>
      <c r="C10" s="184"/>
      <c r="D10" s="87"/>
      <c r="E10" s="87"/>
      <c r="F10" s="87"/>
      <c r="G10" s="87"/>
      <c r="H10" s="87"/>
      <c r="I10" s="87"/>
      <c r="J10" s="87"/>
      <c r="K10" s="179" t="str">
        <f>" Паспорт жасы мен даму деңгейі арасындағы айырмашылық шамамен " &amp; TEXT(B14,"0,0") &amp; " жылды құрайды."</f>
        <v xml:space="preserve"> Паспорт жасы мен даму деңгейі арасындағы айырмашылық шамамен 0,0 жылды құрайды.</v>
      </c>
      <c r="L10" s="185" t="str">
        <f>IF(B13&lt;0.15,"Салыстырмалы түрде үйлесімді даму",
IF(B13&lt;0.3,"Бірқалыпты асинхрондылық",
"Профильдің айқын асинхрондылығы"))</f>
        <v>Салыстырмалы түрде үйлесімді даму</v>
      </c>
      <c r="M10" s="87"/>
      <c r="N10" s="87"/>
    </row>
    <row r="11" spans="1:14" ht="15" customHeight="1" x14ac:dyDescent="0.35">
      <c r="A11" s="177" t="s">
        <v>306</v>
      </c>
      <c r="B11" s="177" t="str">
        <f>INDEX(A2:A8,MATCH(MAX(F2:F8),F2:F8,0))</f>
        <v>Дене дамуы</v>
      </c>
      <c r="C11" s="184"/>
      <c r="D11" s="87"/>
      <c r="E11" s="87" t="s">
        <v>307</v>
      </c>
      <c r="F11" s="87"/>
      <c r="G11" s="87"/>
      <c r="H11" s="87"/>
      <c r="I11" s="87"/>
      <c r="J11" s="87"/>
      <c r="K11" s="87"/>
      <c r="L11" s="87"/>
      <c r="M11" s="87"/>
      <c r="N11" s="87"/>
    </row>
    <row r="12" spans="1:14" ht="33.75" customHeight="1" x14ac:dyDescent="0.35">
      <c r="A12" s="177" t="s">
        <v>308</v>
      </c>
      <c r="B12" s="177" t="str">
        <f>INDEX(A2:A8,MATCH(MIN(F2:F8),F2:F8,0))</f>
        <v>Дене дамуы</v>
      </c>
      <c r="C12" s="184"/>
      <c r="D12" s="87"/>
      <c r="E12" s="172" t="s">
        <v>309</v>
      </c>
      <c r="F12" s="174" t="s">
        <v>310</v>
      </c>
      <c r="G12" s="172" t="s">
        <v>204</v>
      </c>
      <c r="H12" s="184"/>
      <c r="I12" s="184"/>
      <c r="J12" s="184"/>
      <c r="K12" s="87"/>
      <c r="L12" s="87"/>
      <c r="M12" s="87"/>
      <c r="N12" s="87"/>
    </row>
    <row r="13" spans="1:14" ht="22.5" customHeight="1" x14ac:dyDescent="0.35">
      <c r="A13" s="177" t="s">
        <v>311</v>
      </c>
      <c r="B13" s="177">
        <f>MAX(F2:F8)-MIN(F2:F8)</f>
        <v>0</v>
      </c>
      <c r="C13" s="186"/>
      <c r="D13" s="87"/>
      <c r="E13" s="187" t="s">
        <v>312</v>
      </c>
      <c r="F13" s="188" t="s">
        <v>313</v>
      </c>
      <c r="G13" s="187" t="s">
        <v>314</v>
      </c>
      <c r="H13" s="184"/>
      <c r="I13" s="184"/>
      <c r="J13" s="184"/>
      <c r="K13" s="87"/>
      <c r="L13" s="87"/>
      <c r="M13" s="87"/>
      <c r="N13" s="87"/>
    </row>
    <row r="14" spans="1:14" ht="33.75" customHeight="1" x14ac:dyDescent="0.35">
      <c r="A14" s="177" t="s">
        <v>315</v>
      </c>
      <c r="B14" s="189">
        <f>(ПАСПОРТ!B5-B9)/12</f>
        <v>0</v>
      </c>
      <c r="C14" s="184"/>
      <c r="D14" s="87"/>
      <c r="E14" s="190" t="s">
        <v>316</v>
      </c>
      <c r="F14" s="191" t="s">
        <v>317</v>
      </c>
      <c r="G14" s="190" t="s">
        <v>318</v>
      </c>
      <c r="H14" s="184"/>
      <c r="I14" s="184"/>
      <c r="J14" s="184"/>
      <c r="K14" s="87"/>
      <c r="L14" s="87"/>
      <c r="M14" s="87"/>
      <c r="N14" s="87"/>
    </row>
    <row r="15" spans="1:14" ht="33.75" customHeight="1" x14ac:dyDescent="0.35">
      <c r="A15" s="177" t="s">
        <v>319</v>
      </c>
      <c r="B15" s="177" t="str">
        <f>INDEX(A2:A8,MATCH(MIN(F2:F8),F2:F8,0))</f>
        <v>Дене дамуы</v>
      </c>
      <c r="C15" s="184"/>
      <c r="D15" s="192"/>
      <c r="E15" s="193" t="s">
        <v>320</v>
      </c>
      <c r="F15" s="194" t="s">
        <v>321</v>
      </c>
      <c r="G15" s="193" t="s">
        <v>322</v>
      </c>
      <c r="H15" s="184"/>
      <c r="I15" s="184"/>
      <c r="J15" s="184"/>
      <c r="K15" s="87"/>
      <c r="L15" s="87"/>
      <c r="M15" s="87"/>
      <c r="N15" s="87"/>
    </row>
    <row r="16" spans="1:14" ht="52.5" customHeight="1" x14ac:dyDescent="0.35">
      <c r="A16" s="177" t="s">
        <v>323</v>
      </c>
      <c r="B16" s="177" t="str">
        <f>IF(B11="Дене дамуы","Дамудың моторлық профилі",
IF(B11="Ұсақ моторика","Дамудың моторлық профилі",
IF(B11="Сөйлеу","Коммуникативтік профиль",
IF(B11="Танымдық","Когнитивтік профиль",
IF(B11="Эмоциялар","Эмоциялық-әлеуметтік профиль",
IF(B11="Әлеуметтік","Әлеуметтік профиль",
"Өзіне-өзі қызмет көрсету дағдылары жетекші сала ретінде"))))))</f>
        <v>Дамудың моторлық профилі</v>
      </c>
      <c r="C16" s="87"/>
      <c r="D16" s="87"/>
      <c r="E16" s="195" t="s">
        <v>324</v>
      </c>
      <c r="F16" s="196" t="s">
        <v>325</v>
      </c>
      <c r="G16" s="195" t="s">
        <v>326</v>
      </c>
      <c r="H16" s="184"/>
      <c r="I16" s="184"/>
      <c r="J16" s="184"/>
      <c r="K16" s="87"/>
      <c r="L16" s="87"/>
      <c r="M16" s="87"/>
      <c r="N16" s="87"/>
    </row>
    <row r="17" spans="1:14" ht="22.5" customHeight="1" x14ac:dyDescent="0.35">
      <c r="A17" s="177" t="s">
        <v>327</v>
      </c>
      <c r="B17" s="197" t="str">
        <f>IF(B16="Дамудың моторлық профилі",
"Бала дағдыларды қозғалыс пен іс-әрекет арқылы жақсы меңгереді. Оқыту үшін қозғалыс белсенділігін пайдаланыңыз.",
IF(B16="Коммуникативтік профиль",
"Бала сөйлеуге және өзара әрекеттесуге белсенді жауап береді. Дамуды диалог пен бірлескен ойындар арқылы құрған жөн.",
IF(B16="Когнитивтік профиль",
"Бала тапсырмаларға, зерттеулерге және танымдық ойындарға жақсы жауап береді.",
IF(B16="Эмоциялық-әлеуметтік профиль",
"Эмоциялық байланыс баланың күшті жағы болып табылады. Оқыту үшін бірлескен іс-әрекет пен эмоцияларды пайдаланыңыз.",
IF(B16="Әлеуметтік профиль",
"Өзіне-өзі қызмет көрсету дағдылары басқа салаларға қарағанда салыстырмалы түрде жақсы дамыған.")))))</f>
        <v>Бала дағдыларды қозғалыс пен іс-әрекет арқылы жақсы меңгереді. Оқыту үшін қозғалыс белсенділігін пайдаланыңыз.</v>
      </c>
      <c r="C17" s="87"/>
      <c r="D17" s="87"/>
      <c r="E17" s="87"/>
      <c r="F17" s="87"/>
      <c r="G17" s="87"/>
      <c r="H17" s="184"/>
      <c r="I17" s="184"/>
      <c r="J17" s="184"/>
      <c r="K17" s="87"/>
      <c r="L17" s="87"/>
      <c r="M17" s="87"/>
      <c r="N17" s="87"/>
    </row>
    <row r="18" spans="1:14" ht="22.5" customHeight="1" x14ac:dyDescent="0.35">
      <c r="A18" s="177" t="s">
        <v>232</v>
      </c>
      <c r="B18" s="197" t="str">
        <f>IF(B16="Дамудың моторлық профилі",
"Қозғалыс арқылы оқыту: заттармен ойындар, жаттығулар, белсенді тапсырмалар.",
IF(B16="Коммуникативтік профиль",
"Сөйлесуді, бірге кітап оқуды, талқылауды және диалогты пайдаланыңыз.",
IF(B16="Когнитивтік профиль",
"Тапсырмаларды, сұрыптауды, пазлдарды, зерттеу ойындарын пайдаланыңыз.",
IF(B16="Эмоциялық-әлеуметтік профиль",
"Эмоциялық өзара әрекеттесуді, бірлескен ойындарды, рөлдік сценарийлерді пайдаланыңыз.",
IF(B16="Әлеуметтік профиль",
"Күнделікті іс-әрекеттер арқылы тұрмыстық дағдыларды жаттықтырыңыз.")))))</f>
        <v>Қозғалыс арқылы оқыту: заттармен ойындар, жаттығулар, белсенді тапсырмалар.</v>
      </c>
      <c r="C18" s="87"/>
      <c r="D18" s="87"/>
      <c r="E18" s="184"/>
      <c r="F18" s="184"/>
      <c r="G18" s="184"/>
      <c r="H18" s="184"/>
      <c r="I18" s="184"/>
      <c r="J18" s="184"/>
      <c r="K18" s="87"/>
      <c r="L18" s="87"/>
      <c r="M18" s="87"/>
      <c r="N18" s="87"/>
    </row>
    <row r="19" spans="1:14" ht="22.5" customHeight="1" x14ac:dyDescent="0.35">
      <c r="A19" s="177" t="s">
        <v>328</v>
      </c>
      <c r="B19" s="197" t="str">
        <f>IF(B10&gt;=0.9,"Даму қарқыны жас нормасына сәйкес келеді",
IF(B10&gt;=0.75,"Даму қарқыны аздап баяулаған",
IF(B10&gt;=0.5,"Даму қарқыны айтарлықтай баяулаған",
IF(B10&lt;0.5,"Даму қарқыны айқын баяулаған"))))</f>
        <v>Даму қарқыны айқын баяулаған</v>
      </c>
      <c r="C19" s="87"/>
      <c r="D19" s="87"/>
      <c r="E19" s="184"/>
      <c r="F19" s="184"/>
      <c r="G19" s="184"/>
      <c r="H19" s="184"/>
      <c r="I19" s="184"/>
      <c r="J19" s="184"/>
      <c r="K19" s="87"/>
      <c r="L19" s="87"/>
      <c r="M19" s="87"/>
      <c r="N19" s="87"/>
    </row>
    <row r="20" spans="1:14" ht="15" customHeight="1" x14ac:dyDescent="0.35">
      <c r="A20" s="177" t="s">
        <v>234</v>
      </c>
      <c r="B20" s="197" t="str">
        <f>IF(B10&gt;=0.9,"Даму жас ерекшелігіне сай күтілетін нәтижелерге сәйкес келеді.",
IF(B10&gt;=0.75,"Тұрақты қолдау көрсетілген жағдайда дағдылардың тез теңесуі мүмкін.",
IF(B10&gt;=0.5,"Жүйелі дамыту жұмыстары қажет.",
IF(B10&lt;0.5,"Кешенді түзету қолдауы ұсынылады."))))</f>
        <v>Кешенді түзету қолдауы ұсынылады.</v>
      </c>
      <c r="C20" s="87"/>
      <c r="D20" s="87"/>
      <c r="E20" s="184"/>
      <c r="F20" s="184"/>
      <c r="G20" s="184"/>
      <c r="H20" s="184"/>
      <c r="I20" s="184"/>
      <c r="J20" s="184"/>
      <c r="K20" s="87"/>
      <c r="L20" s="87"/>
      <c r="M20" s="87"/>
      <c r="N20" s="87"/>
    </row>
    <row r="21" spans="1:14" ht="15" customHeight="1" x14ac:dyDescent="0.35">
      <c r="A21" s="184" t="s">
        <v>329</v>
      </c>
      <c r="B21" s="198" t="str">
        <f>IFERROR(
INDEX(A2:A8,MATCH(MAX(IF((E2:E8&gt;=0.5)*(E2:E8&lt;0.75),E2:E8)),E2:E8,0)),
INDEX(A2:A8,MATCH(MAX(E2:E8),E2:E8,0))
)</f>
        <v>Өзіне-өзі қызмет</v>
      </c>
      <c r="C21" s="198" t="str">
        <f>"Жақын арадағы даму аймағы: " &amp; B21 &amp;
". Осы саланы дамыту жақын арада ең жоғары прогресске әкелуі мүмкін."</f>
        <v>Жақын арадағы даму аймағы: Өзіне-өзі қызмет. Осы саланы дамыту жақын арада ең жоғары прогресске әкелуі мүмкін.</v>
      </c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87"/>
    </row>
    <row r="22" spans="1:14" ht="15" customHeight="1" x14ac:dyDescent="0.35">
      <c r="A22" s="184" t="s">
        <v>330</v>
      </c>
      <c r="B22" s="198" t="str">
        <f>IF(B10&gt;=0.9,"жоғары",
IF(B10&gt;=0.75,"орташа",
"базалық"))</f>
        <v>базалық</v>
      </c>
      <c r="C22" s="198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87"/>
    </row>
    <row r="23" spans="1:14" ht="33.75" customHeight="1" x14ac:dyDescent="0.35">
      <c r="A23" s="184" t="s">
        <v>331</v>
      </c>
      <c r="B23" s="198">
        <f>STDEV(F2:F8)</f>
        <v>0</v>
      </c>
      <c r="C23" s="198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87"/>
    </row>
    <row r="24" spans="1:14" ht="15" customHeight="1" x14ac:dyDescent="0.35">
      <c r="A24" s="184" t="s">
        <v>38</v>
      </c>
      <c r="B24" s="198" t="str">
        <f>IF(B23&lt;0.15,"Дамуы салыстырмалы түрде үйлесімді",
IF(B23&lt;0.3,"Дамудың орташа асинхрондылығы",
IF(B23&gt;0.3,"Дамудың айқын асинхрондылығы")))</f>
        <v>Дамуы салыстырмалы түрде үйлесімді</v>
      </c>
      <c r="C24" s="198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87"/>
    </row>
    <row r="25" spans="1:14" ht="33.75" customHeight="1" x14ac:dyDescent="0.35">
      <c r="A25" s="184" t="s">
        <v>332</v>
      </c>
      <c r="B25" s="198">
        <f>MAX(F2:F8)-AVERAGE(F2:F8)</f>
        <v>0</v>
      </c>
      <c r="C25" s="198" t="str">
        <f>IF(B25&gt;0.25,"Компенсаторлық әлеуеті жоғары",
IF(B25&gt;0.1,"Компенсаторлық әлеуеті орташа",
"Компенсаторлық әлеуеті төмен"))</f>
        <v>Компенсаторлық әлеуеті төмен</v>
      </c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87"/>
    </row>
    <row r="26" spans="1:14" ht="33.75" customHeight="1" x14ac:dyDescent="0.35">
      <c r="A26" s="184" t="s">
        <v>333</v>
      </c>
      <c r="B26" s="198">
        <f>AVERAGE(F3,F7,F8)</f>
        <v>0</v>
      </c>
      <c r="C26" s="198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87"/>
    </row>
    <row r="27" spans="1:14" ht="22.5" customHeight="1" x14ac:dyDescent="0.35">
      <c r="A27" s="184" t="s">
        <v>334</v>
      </c>
      <c r="B27" s="198" t="str">
        <f>IF(B26&gt;=0.8,"Функционалдық тәуелсіздіктің жоғары деңгейі",
IF(B26&gt;=0.6,"Функционалдық тәуелсіздіктің орташа деңгейі",
IF(B26&gt;=0.4,"Функционалдық тәуелсіздіктің төмен деңгейі",
"Елеулі қолдау қажет")))</f>
        <v>Елеулі қолдау қажет</v>
      </c>
      <c r="C27" s="198"/>
      <c r="D27" s="184"/>
      <c r="E27" s="184"/>
      <c r="F27" s="184"/>
      <c r="G27" s="184"/>
      <c r="H27" s="184"/>
      <c r="I27" s="184"/>
      <c r="J27" s="184"/>
      <c r="K27" s="184"/>
      <c r="L27" s="184"/>
      <c r="M27" s="184"/>
      <c r="N27" s="87"/>
    </row>
    <row r="28" spans="1:14" ht="22.5" customHeight="1" x14ac:dyDescent="0.35">
      <c r="A28" s="184" t="s">
        <v>335</v>
      </c>
      <c r="B28" s="199">
        <f>COUNTIF(F2:F8,"&lt;0,75")</f>
        <v>7</v>
      </c>
      <c r="C28" s="198"/>
      <c r="D28" s="184"/>
      <c r="E28" s="184"/>
      <c r="F28" s="184"/>
      <c r="G28" s="184"/>
      <c r="H28" s="184"/>
      <c r="I28" s="184"/>
      <c r="J28" s="184"/>
      <c r="K28" s="184"/>
      <c r="L28" s="184"/>
      <c r="M28" s="184"/>
      <c r="N28" s="87"/>
    </row>
    <row r="29" spans="1:14" ht="22.5" customHeight="1" x14ac:dyDescent="0.35">
      <c r="A29" s="184" t="s">
        <v>336</v>
      </c>
      <c r="B29" s="199" t="str">
        <f>IF(B28&lt;=2,"Ұсынылатын жүктеме: күніне 20–30 минуттық сабақтар",
IF(B28&lt;=4,"Ұсынылатын жүктеме: күніне 40–60 минуттық сабақтар",
"Ұсынылатын жүктеме: күніне 60–90 минуттық сабақтар"))</f>
        <v>Ұсынылатын жүктеме: күніне 60–90 минуттық сабақтар</v>
      </c>
      <c r="C29" s="198"/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87"/>
    </row>
    <row r="30" spans="1:14" ht="15" customHeight="1" x14ac:dyDescent="0.35">
      <c r="A30" s="184" t="s">
        <v>337</v>
      </c>
      <c r="B30" s="198" t="str">
        <f>IF(B10&gt;=0.9,"Дамудың іркілу қаупі төмен",
IF(B10&gt;=0.75,"Дамудың іркілу қаупі аз",
IF(B10&gt;=0.5,"Дамудың іркілу қаупі жоғары деңгейде",
IF(B10&lt;0.5,"Дамудың іркілу қаупі өте жоғары"))))</f>
        <v>Дамудың іркілу қаупі өте жоғары</v>
      </c>
      <c r="C30" s="198"/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87"/>
    </row>
    <row r="31" spans="1:14" ht="15" customHeight="1" x14ac:dyDescent="0.35">
      <c r="A31" s="184" t="s">
        <v>223</v>
      </c>
      <c r="B31" s="198" t="str">
        <f>IF(B10&gt;=0.75,"Дамуды үй жағдайындағы сабақтармен қолдауға болады",
IF(B10&gt;=0.5,"Маманның кеңесі ұсынылады",
"Кешенді коррекциялық көмек ұсынылады"))</f>
        <v>Кешенді коррекциялық көмек ұсынылады</v>
      </c>
      <c r="C31" s="198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87"/>
    </row>
    <row r="32" spans="1:14" ht="25.5" customHeight="1" x14ac:dyDescent="0.35">
      <c r="A32" s="184" t="s">
        <v>251</v>
      </c>
      <c r="B32" s="198" t="str">
        <f>IFERROR(VLOOKUP(B15,МАМАНДАР!A:B,2,FALSE()),"—")</f>
        <v>Физиотерапевт / ЛФК</v>
      </c>
      <c r="C32" s="198"/>
      <c r="D32" s="184"/>
      <c r="E32" s="184"/>
      <c r="F32" s="184"/>
      <c r="G32" s="184"/>
      <c r="H32" s="184"/>
      <c r="I32" s="184"/>
      <c r="J32" s="184"/>
      <c r="K32" s="184"/>
      <c r="L32" s="184"/>
      <c r="M32" s="184"/>
      <c r="N32" s="87"/>
    </row>
    <row r="33" spans="1:14" ht="27" customHeight="1" x14ac:dyDescent="0.35">
      <c r="A33" s="184" t="s">
        <v>252</v>
      </c>
      <c r="B33" s="198" t="str">
        <f>IFERROR(VLOOKUP(B15,МАМАНДАР!A:C,3,FALSE()),"—")</f>
        <v>Емдік дене шынықтыру, физиотерапия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</row>
    <row r="34" spans="1:14" ht="27" customHeight="1" x14ac:dyDescent="0.35">
      <c r="A34" s="33"/>
      <c r="B34" s="33"/>
    </row>
    <row r="35" spans="1:14" ht="22.5" customHeight="1" x14ac:dyDescent="0.35">
      <c r="A35" s="77" t="s">
        <v>338</v>
      </c>
      <c r="B35" s="78"/>
      <c r="C35" s="35"/>
      <c r="D35" s="36"/>
    </row>
    <row r="36" spans="1:14" ht="22.5" customHeight="1" x14ac:dyDescent="0.35">
      <c r="A36" s="32" t="s">
        <v>339</v>
      </c>
      <c r="B36" s="32" t="s">
        <v>340</v>
      </c>
      <c r="C36" s="33"/>
      <c r="D36" s="37"/>
    </row>
    <row r="37" spans="1:14" ht="15" customHeight="1" x14ac:dyDescent="0.35">
      <c r="A37" s="38">
        <v>46114</v>
      </c>
      <c r="B37" s="32">
        <v>6.4000000000000001E-2</v>
      </c>
      <c r="C37" s="33"/>
    </row>
    <row r="38" spans="1:14" ht="15" customHeight="1" x14ac:dyDescent="0.35">
      <c r="A38" s="32"/>
      <c r="B38" s="32" t="s">
        <v>341</v>
      </c>
      <c r="C38" s="33"/>
    </row>
    <row r="39" spans="1:14" ht="15" customHeight="1" x14ac:dyDescent="0.35">
      <c r="A39" s="32"/>
      <c r="B39" s="32" t="s">
        <v>341</v>
      </c>
      <c r="C39" s="33"/>
    </row>
    <row r="40" spans="1:14" ht="15" customHeight="1" x14ac:dyDescent="0.35">
      <c r="A40" s="32"/>
      <c r="B40" s="32" t="s">
        <v>341</v>
      </c>
      <c r="C40" s="33"/>
    </row>
    <row r="41" spans="1:14" ht="15" customHeight="1" x14ac:dyDescent="0.35">
      <c r="A41" s="32"/>
      <c r="B41" s="32" t="s">
        <v>341</v>
      </c>
      <c r="C41" s="33"/>
    </row>
    <row r="43" spans="1:14" ht="21.75" customHeight="1" x14ac:dyDescent="0.35">
      <c r="A43" s="33" t="s">
        <v>342</v>
      </c>
      <c r="B43" s="33" t="str">
        <f>IFERROR(INDEX(A2:A8,MATCH(SMALL(F2:F8,2),F2:F8,0)),"")</f>
        <v>Дене дамуы</v>
      </c>
      <c r="C43" s="33"/>
      <c r="D43" s="33"/>
    </row>
    <row r="44" spans="1:14" ht="21" customHeight="1" x14ac:dyDescent="0.35">
      <c r="A44" s="33" t="s">
        <v>343</v>
      </c>
      <c r="B44" s="33" t="str">
        <f>IFERROR(INDEX(A2:A8,MATCH(SMALL(F2:F8,3),F2:F8,0)),"")</f>
        <v>Дене дамуы</v>
      </c>
      <c r="C44" s="33"/>
      <c r="D44" s="33"/>
    </row>
    <row r="45" spans="1:14" ht="24" customHeight="1" x14ac:dyDescent="0.35">
      <c r="A45" s="33" t="s">
        <v>344</v>
      </c>
      <c r="B45" s="33" t="str">
        <f>НЕЙРОФУНКЦИЯЛАР!C9</f>
        <v>Моторлық бақылау</v>
      </c>
      <c r="C45" s="33"/>
      <c r="D45" s="33"/>
    </row>
    <row r="46" spans="1:14" ht="25.5" customHeight="1" x14ac:dyDescent="0.35">
      <c r="A46" s="33" t="s">
        <v>345</v>
      </c>
      <c r="B46" s="33" t="str">
        <f>СЕНСОРИКА!C9</f>
        <v xml:space="preserve">Көру </v>
      </c>
      <c r="C46" s="33"/>
      <c r="D46" s="33"/>
    </row>
    <row r="47" spans="1:14" ht="34.5" customHeight="1" x14ac:dyDescent="0.35">
      <c r="A47" s="33" t="s">
        <v>345</v>
      </c>
      <c r="B47" s="34" t="str">
        <f>СЕБЕПТЕР!C9</f>
        <v xml:space="preserve">Кешігудің ықтимал моторлық себебі; Кешігудің ықтимал коммуникативтік себебі; Кешігудің ықтимал танымдық себебі ; Кешігудің ықтимал эмоциялық себебі ; Кешігудің ықтимал бейімделу себебі </v>
      </c>
      <c r="C47" s="33"/>
      <c r="D47" s="33"/>
    </row>
  </sheetData>
  <sheetProtection algorithmName="SHA-512" hashValue="+m2jqNRmxaFdsMp7pFeIew4sn0ypf7j358BjRXPuKiGyBu0pPGDkGQdINQh+c+eemVdVfPB59bSMwykCPLa+CQ==" saltValue="Qid3PuRGq+i93lo6AP0Wiw==" spinCount="100000" sheet="1" objects="1" scenarios="1" selectLockedCells="1"/>
  <mergeCells count="1">
    <mergeCell ref="A35:B35"/>
  </mergeCells>
  <conditionalFormatting sqref="K2:K8">
    <cfRule type="containsText" dxfId="11" priority="3" operator="containsText" text="Күшті аймақ">
      <formula>NOT(ISERROR(SEARCH("Күшті аймақ",K2)))</formula>
    </cfRule>
    <cfRule type="containsText" dxfId="10" priority="4" operator="containsText" text="Жеңіл кешеу">
      <formula>NOT(ISERROR(SEARCH("Жеңіл кешеу",K2)))</formula>
    </cfRule>
    <cfRule type="containsText" dxfId="9" priority="5" operator="containsText" text="Орташа кешеу">
      <formula>NOT(ISERROR(SEARCH("Орташа кешеу",K2)))</formula>
    </cfRule>
    <cfRule type="containsText" dxfId="8" priority="6" operator="containsText" text="Айқын кешеу">
      <formula>NOT(ISERROR(SEARCH("Айқын кешеу",K2)))</formula>
    </cfRule>
    <cfRule type="containsText" dxfId="7" priority="7" operator="containsText" text="Күшті аймақ">
      <formula>NOT(ISERROR(SEARCH("Күшті аймақ",K2)))</formula>
    </cfRule>
    <cfRule type="containsText" dxfId="6" priority="8" operator="containsText" text="Жасқа жақын">
      <formula>NOT(ISERROR(SEARCH("Жасқа жақын",K2)))</formula>
    </cfRule>
    <cfRule type="containsText" dxfId="5" priority="9" operator="containsText" text="Даму аймағы">
      <formula>NOT(ISERROR(SEARCH("Даму аймағы",K2)))</formula>
    </cfRule>
    <cfRule type="containsText" dxfId="4" priority="10" operator="containsText" text="Күшейтілген қолдауды қажет етеді">
      <formula>NOT(ISERROR(SEARCH("Күшейтілген қолдауды қажет етеді",K2)))</formula>
    </cfRule>
  </conditionalFormatting>
  <conditionalFormatting sqref="F2:F8">
    <cfRule type="cellIs" dxfId="3" priority="11" operator="greaterThanOrEqual">
      <formula>0.9</formula>
    </cfRule>
    <cfRule type="cellIs" dxfId="2" priority="12" operator="greaterThanOrEqual">
      <formula>0.75</formula>
    </cfRule>
    <cfRule type="cellIs" dxfId="1" priority="13" operator="greaterThanOrEqual">
      <formula>0.5</formula>
    </cfRule>
    <cfRule type="cellIs" dxfId="0" priority="14" operator="lessThan">
      <formula>0.5</formula>
    </cfRule>
  </conditionalFormatting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03152"/>
  </sheetPr>
  <dimension ref="A1:D166"/>
  <sheetViews>
    <sheetView topLeftCell="A100" zoomScaleNormal="100" workbookViewId="0">
      <selection activeCell="C2" sqref="A1:D166"/>
    </sheetView>
  </sheetViews>
  <sheetFormatPr defaultColWidth="9.1796875" defaultRowHeight="13" x14ac:dyDescent="0.35"/>
  <cols>
    <col min="1" max="1" width="16.81640625" style="40" customWidth="1"/>
    <col min="2" max="2" width="9.1796875" style="40" customWidth="1"/>
    <col min="3" max="3" width="25.7265625" style="40" customWidth="1"/>
    <col min="4" max="4" width="23.54296875" style="40" customWidth="1"/>
    <col min="5" max="5" width="9.1796875" style="40" customWidth="1"/>
    <col min="6" max="16384" width="9.1796875" style="40"/>
  </cols>
  <sheetData>
    <row r="1" spans="1:4" ht="12.75" customHeight="1" thickBot="1" x14ac:dyDescent="0.4">
      <c r="A1" s="165" t="s">
        <v>59</v>
      </c>
      <c r="B1" s="166" t="s">
        <v>248</v>
      </c>
      <c r="C1" s="166" t="s">
        <v>255</v>
      </c>
      <c r="D1" s="166" t="s">
        <v>256</v>
      </c>
    </row>
    <row r="2" spans="1:4" ht="22.5" customHeight="1" thickBot="1" x14ac:dyDescent="0.4">
      <c r="A2" s="165" t="s">
        <v>29</v>
      </c>
      <c r="B2" s="166" t="s">
        <v>346</v>
      </c>
      <c r="C2" s="167" t="s">
        <v>347</v>
      </c>
      <c r="D2" s="167" t="s">
        <v>348</v>
      </c>
    </row>
    <row r="3" spans="1:4" ht="12.75" customHeight="1" thickBot="1" x14ac:dyDescent="0.4">
      <c r="A3" s="165" t="s">
        <v>29</v>
      </c>
      <c r="B3" s="166" t="s">
        <v>346</v>
      </c>
      <c r="C3" s="168" t="s">
        <v>349</v>
      </c>
      <c r="D3" s="168" t="s">
        <v>350</v>
      </c>
    </row>
    <row r="4" spans="1:4" ht="12.75" customHeight="1" thickBot="1" x14ac:dyDescent="0.4">
      <c r="A4" s="165" t="s">
        <v>29</v>
      </c>
      <c r="B4" s="166" t="s">
        <v>346</v>
      </c>
      <c r="C4" s="169" t="s">
        <v>351</v>
      </c>
      <c r="D4" s="169" t="s">
        <v>352</v>
      </c>
    </row>
    <row r="5" spans="1:4" ht="12.75" customHeight="1" thickBot="1" x14ac:dyDescent="0.4">
      <c r="A5" s="165" t="s">
        <v>29</v>
      </c>
      <c r="B5" s="166" t="s">
        <v>346</v>
      </c>
      <c r="C5" s="168" t="s">
        <v>353</v>
      </c>
      <c r="D5" s="168" t="s">
        <v>354</v>
      </c>
    </row>
    <row r="6" spans="1:4" ht="12.75" customHeight="1" thickBot="1" x14ac:dyDescent="0.4">
      <c r="A6" s="165" t="s">
        <v>29</v>
      </c>
      <c r="B6" s="166" t="s">
        <v>346</v>
      </c>
      <c r="C6" s="169" t="s">
        <v>355</v>
      </c>
      <c r="D6" s="169" t="s">
        <v>356</v>
      </c>
    </row>
    <row r="7" spans="1:4" ht="12.75" customHeight="1" thickBot="1" x14ac:dyDescent="0.4">
      <c r="A7" s="165" t="s">
        <v>29</v>
      </c>
      <c r="B7" s="166" t="s">
        <v>346</v>
      </c>
      <c r="C7" s="168" t="s">
        <v>357</v>
      </c>
      <c r="D7" s="168" t="s">
        <v>358</v>
      </c>
    </row>
    <row r="8" spans="1:4" ht="12.75" customHeight="1" thickBot="1" x14ac:dyDescent="0.4">
      <c r="A8" s="165" t="s">
        <v>29</v>
      </c>
      <c r="B8" s="166" t="s">
        <v>346</v>
      </c>
      <c r="C8" s="169" t="s">
        <v>359</v>
      </c>
      <c r="D8" s="169" t="s">
        <v>360</v>
      </c>
    </row>
    <row r="9" spans="1:4" ht="18" customHeight="1" thickBot="1" x14ac:dyDescent="0.4">
      <c r="A9" s="165" t="s">
        <v>29</v>
      </c>
      <c r="B9" s="166" t="s">
        <v>346</v>
      </c>
      <c r="C9" s="168" t="s">
        <v>361</v>
      </c>
      <c r="D9" s="168" t="s">
        <v>362</v>
      </c>
    </row>
    <row r="10" spans="1:4" ht="12.75" customHeight="1" thickBot="1" x14ac:dyDescent="0.4">
      <c r="A10" s="165" t="s">
        <v>29</v>
      </c>
      <c r="B10" s="166" t="s">
        <v>346</v>
      </c>
      <c r="C10" s="169" t="s">
        <v>363</v>
      </c>
      <c r="D10" s="169" t="s">
        <v>364</v>
      </c>
    </row>
    <row r="11" spans="1:4" ht="12.75" customHeight="1" thickBot="1" x14ac:dyDescent="0.4">
      <c r="A11" s="165" t="s">
        <v>29</v>
      </c>
      <c r="B11" s="166" t="s">
        <v>346</v>
      </c>
      <c r="C11" s="168" t="s">
        <v>365</v>
      </c>
      <c r="D11" s="168" t="s">
        <v>366</v>
      </c>
    </row>
    <row r="12" spans="1:4" ht="12.75" customHeight="1" thickBot="1" x14ac:dyDescent="0.4">
      <c r="A12" s="165" t="s">
        <v>29</v>
      </c>
      <c r="B12" s="166" t="s">
        <v>322</v>
      </c>
      <c r="C12" s="167" t="s">
        <v>367</v>
      </c>
      <c r="D12" s="167" t="s">
        <v>368</v>
      </c>
    </row>
    <row r="13" spans="1:4" ht="12.75" customHeight="1" thickBot="1" x14ac:dyDescent="0.4">
      <c r="A13" s="165" t="s">
        <v>29</v>
      </c>
      <c r="B13" s="166" t="s">
        <v>322</v>
      </c>
      <c r="C13" s="168" t="s">
        <v>369</v>
      </c>
      <c r="D13" s="168" t="s">
        <v>370</v>
      </c>
    </row>
    <row r="14" spans="1:4" ht="12.75" customHeight="1" thickBot="1" x14ac:dyDescent="0.4">
      <c r="A14" s="165" t="s">
        <v>29</v>
      </c>
      <c r="B14" s="166" t="s">
        <v>322</v>
      </c>
      <c r="C14" s="169" t="s">
        <v>371</v>
      </c>
      <c r="D14" s="169" t="s">
        <v>362</v>
      </c>
    </row>
    <row r="15" spans="1:4" ht="12.75" customHeight="1" thickBot="1" x14ac:dyDescent="0.4">
      <c r="A15" s="165" t="s">
        <v>29</v>
      </c>
      <c r="B15" s="166" t="s">
        <v>322</v>
      </c>
      <c r="C15" s="168" t="s">
        <v>372</v>
      </c>
      <c r="D15" s="168" t="s">
        <v>373</v>
      </c>
    </row>
    <row r="16" spans="1:4" ht="12.75" customHeight="1" thickBot="1" x14ac:dyDescent="0.4">
      <c r="A16" s="165" t="s">
        <v>29</v>
      </c>
      <c r="B16" s="166" t="s">
        <v>322</v>
      </c>
      <c r="C16" s="169" t="s">
        <v>374</v>
      </c>
      <c r="D16" s="169" t="s">
        <v>375</v>
      </c>
    </row>
    <row r="17" spans="1:4" ht="12.75" customHeight="1" thickBot="1" x14ac:dyDescent="0.4">
      <c r="A17" s="165" t="s">
        <v>29</v>
      </c>
      <c r="B17" s="166" t="s">
        <v>322</v>
      </c>
      <c r="C17" s="168" t="s">
        <v>376</v>
      </c>
      <c r="D17" s="168" t="s">
        <v>377</v>
      </c>
    </row>
    <row r="18" spans="1:4" ht="12.75" customHeight="1" thickBot="1" x14ac:dyDescent="0.4">
      <c r="A18" s="165" t="s">
        <v>29</v>
      </c>
      <c r="B18" s="166" t="s">
        <v>322</v>
      </c>
      <c r="C18" s="169" t="s">
        <v>378</v>
      </c>
      <c r="D18" s="169" t="s">
        <v>379</v>
      </c>
    </row>
    <row r="19" spans="1:4" ht="12.75" customHeight="1" thickBot="1" x14ac:dyDescent="0.4">
      <c r="A19" s="165" t="s">
        <v>29</v>
      </c>
      <c r="B19" s="166" t="s">
        <v>322</v>
      </c>
      <c r="C19" s="168" t="s">
        <v>380</v>
      </c>
      <c r="D19" s="168" t="s">
        <v>366</v>
      </c>
    </row>
    <row r="20" spans="1:4" ht="12.75" customHeight="1" thickBot="1" x14ac:dyDescent="0.4">
      <c r="A20" s="165" t="s">
        <v>29</v>
      </c>
      <c r="B20" s="166" t="s">
        <v>322</v>
      </c>
      <c r="C20" s="169" t="s">
        <v>381</v>
      </c>
      <c r="D20" s="169" t="s">
        <v>382</v>
      </c>
    </row>
    <row r="21" spans="1:4" ht="12.75" customHeight="1" thickBot="1" x14ac:dyDescent="0.4">
      <c r="A21" s="165" t="s">
        <v>29</v>
      </c>
      <c r="B21" s="166" t="s">
        <v>322</v>
      </c>
      <c r="C21" s="168" t="s">
        <v>383</v>
      </c>
      <c r="D21" s="168" t="s">
        <v>384</v>
      </c>
    </row>
    <row r="22" spans="1:4" ht="12.75" customHeight="1" thickBot="1" x14ac:dyDescent="0.4">
      <c r="A22" s="165" t="s">
        <v>29</v>
      </c>
      <c r="B22" s="166" t="s">
        <v>385</v>
      </c>
      <c r="C22" s="167" t="s">
        <v>386</v>
      </c>
      <c r="D22" s="167" t="s">
        <v>387</v>
      </c>
    </row>
    <row r="23" spans="1:4" ht="12.75" customHeight="1" thickBot="1" x14ac:dyDescent="0.4">
      <c r="A23" s="165" t="s">
        <v>29</v>
      </c>
      <c r="B23" s="166" t="s">
        <v>385</v>
      </c>
      <c r="C23" s="168" t="s">
        <v>388</v>
      </c>
      <c r="D23" s="168" t="s">
        <v>389</v>
      </c>
    </row>
    <row r="24" spans="1:4" ht="12.75" customHeight="1" thickBot="1" x14ac:dyDescent="0.4">
      <c r="A24" s="165" t="s">
        <v>29</v>
      </c>
      <c r="B24" s="166" t="s">
        <v>385</v>
      </c>
      <c r="C24" s="169" t="s">
        <v>390</v>
      </c>
      <c r="D24" s="169" t="s">
        <v>391</v>
      </c>
    </row>
    <row r="25" spans="1:4" ht="12.75" customHeight="1" thickBot="1" x14ac:dyDescent="0.4">
      <c r="A25" s="165" t="s">
        <v>29</v>
      </c>
      <c r="B25" s="166" t="s">
        <v>385</v>
      </c>
      <c r="C25" s="168" t="s">
        <v>392</v>
      </c>
      <c r="D25" s="168" t="s">
        <v>393</v>
      </c>
    </row>
    <row r="26" spans="1:4" ht="12.75" customHeight="1" thickBot="1" x14ac:dyDescent="0.4">
      <c r="A26" s="165" t="s">
        <v>29</v>
      </c>
      <c r="B26" s="166" t="s">
        <v>385</v>
      </c>
      <c r="C26" s="169" t="s">
        <v>394</v>
      </c>
      <c r="D26" s="169" t="s">
        <v>395</v>
      </c>
    </row>
    <row r="27" spans="1:4" ht="12.75" customHeight="1" thickBot="1" x14ac:dyDescent="0.4">
      <c r="A27" s="165" t="s">
        <v>29</v>
      </c>
      <c r="B27" s="166" t="s">
        <v>385</v>
      </c>
      <c r="C27" s="168" t="s">
        <v>396</v>
      </c>
      <c r="D27" s="168" t="s">
        <v>397</v>
      </c>
    </row>
    <row r="28" spans="1:4" ht="12.75" customHeight="1" thickBot="1" x14ac:dyDescent="0.4">
      <c r="A28" s="165" t="s">
        <v>29</v>
      </c>
      <c r="B28" s="166" t="s">
        <v>385</v>
      </c>
      <c r="C28" s="169" t="s">
        <v>398</v>
      </c>
      <c r="D28" s="169" t="s">
        <v>391</v>
      </c>
    </row>
    <row r="29" spans="1:4" ht="12.75" customHeight="1" thickBot="1" x14ac:dyDescent="0.4">
      <c r="A29" s="165" t="s">
        <v>29</v>
      </c>
      <c r="B29" s="166" t="s">
        <v>385</v>
      </c>
      <c r="C29" s="168" t="s">
        <v>399</v>
      </c>
      <c r="D29" s="168" t="s">
        <v>400</v>
      </c>
    </row>
    <row r="30" spans="1:4" ht="12.75" customHeight="1" thickBot="1" x14ac:dyDescent="0.4">
      <c r="A30" s="165" t="s">
        <v>29</v>
      </c>
      <c r="B30" s="166" t="s">
        <v>385</v>
      </c>
      <c r="C30" s="169" t="s">
        <v>401</v>
      </c>
      <c r="D30" s="169" t="s">
        <v>402</v>
      </c>
    </row>
    <row r="31" spans="1:4" ht="12.75" customHeight="1" thickBot="1" x14ac:dyDescent="0.4">
      <c r="A31" s="165" t="s">
        <v>29</v>
      </c>
      <c r="B31" s="166" t="s">
        <v>385</v>
      </c>
      <c r="C31" s="168" t="s">
        <v>403</v>
      </c>
      <c r="D31" s="168" t="s">
        <v>404</v>
      </c>
    </row>
    <row r="32" spans="1:4" ht="15.75" customHeight="1" thickBot="1" x14ac:dyDescent="0.4">
      <c r="A32" s="165" t="s">
        <v>106</v>
      </c>
      <c r="B32" s="166" t="s">
        <v>346</v>
      </c>
      <c r="C32" s="167" t="s">
        <v>405</v>
      </c>
      <c r="D32" s="167" t="s">
        <v>406</v>
      </c>
    </row>
    <row r="33" spans="1:4" ht="14.25" customHeight="1" thickBot="1" x14ac:dyDescent="0.4">
      <c r="A33" s="165" t="s">
        <v>106</v>
      </c>
      <c r="B33" s="166" t="s">
        <v>346</v>
      </c>
      <c r="C33" s="168" t="s">
        <v>407</v>
      </c>
      <c r="D33" s="168" t="s">
        <v>408</v>
      </c>
    </row>
    <row r="34" spans="1:4" ht="14.25" customHeight="1" thickBot="1" x14ac:dyDescent="0.4">
      <c r="A34" s="165" t="s">
        <v>106</v>
      </c>
      <c r="B34" s="166" t="s">
        <v>346</v>
      </c>
      <c r="C34" s="169" t="s">
        <v>409</v>
      </c>
      <c r="D34" s="169" t="s">
        <v>410</v>
      </c>
    </row>
    <row r="35" spans="1:4" ht="14.25" customHeight="1" thickBot="1" x14ac:dyDescent="0.4">
      <c r="A35" s="165" t="s">
        <v>106</v>
      </c>
      <c r="B35" s="166" t="s">
        <v>346</v>
      </c>
      <c r="C35" s="168" t="s">
        <v>411</v>
      </c>
      <c r="D35" s="168" t="s">
        <v>412</v>
      </c>
    </row>
    <row r="36" spans="1:4" ht="15" customHeight="1" thickBot="1" x14ac:dyDescent="0.4">
      <c r="A36" s="165" t="s">
        <v>106</v>
      </c>
      <c r="B36" s="166" t="s">
        <v>346</v>
      </c>
      <c r="C36" s="169" t="s">
        <v>413</v>
      </c>
      <c r="D36" s="169" t="s">
        <v>414</v>
      </c>
    </row>
    <row r="37" spans="1:4" ht="14.25" customHeight="1" thickBot="1" x14ac:dyDescent="0.4">
      <c r="A37" s="165" t="s">
        <v>106</v>
      </c>
      <c r="B37" s="166" t="s">
        <v>346</v>
      </c>
      <c r="C37" s="168" t="s">
        <v>415</v>
      </c>
      <c r="D37" s="168" t="s">
        <v>414</v>
      </c>
    </row>
    <row r="38" spans="1:4" ht="15.75" customHeight="1" thickBot="1" x14ac:dyDescent="0.4">
      <c r="A38" s="165" t="s">
        <v>106</v>
      </c>
      <c r="B38" s="166" t="s">
        <v>346</v>
      </c>
      <c r="C38" s="169" t="s">
        <v>416</v>
      </c>
      <c r="D38" s="169" t="s">
        <v>417</v>
      </c>
    </row>
    <row r="39" spans="1:4" ht="15.75" customHeight="1" thickBot="1" x14ac:dyDescent="0.4">
      <c r="A39" s="165" t="s">
        <v>106</v>
      </c>
      <c r="B39" s="166" t="s">
        <v>346</v>
      </c>
      <c r="C39" s="168" t="s">
        <v>418</v>
      </c>
      <c r="D39" s="168" t="s">
        <v>406</v>
      </c>
    </row>
    <row r="40" spans="1:4" ht="16.5" customHeight="1" thickBot="1" x14ac:dyDescent="0.4">
      <c r="A40" s="165" t="s">
        <v>106</v>
      </c>
      <c r="B40" s="166" t="s">
        <v>346</v>
      </c>
      <c r="C40" s="169" t="s">
        <v>419</v>
      </c>
      <c r="D40" s="169" t="s">
        <v>420</v>
      </c>
    </row>
    <row r="41" spans="1:4" ht="15.75" customHeight="1" thickBot="1" x14ac:dyDescent="0.4">
      <c r="A41" s="165" t="s">
        <v>106</v>
      </c>
      <c r="B41" s="166" t="s">
        <v>346</v>
      </c>
      <c r="C41" s="168" t="s">
        <v>421</v>
      </c>
      <c r="D41" s="168" t="s">
        <v>422</v>
      </c>
    </row>
    <row r="42" spans="1:4" ht="14.25" customHeight="1" thickBot="1" x14ac:dyDescent="0.4">
      <c r="A42" s="165" t="s">
        <v>106</v>
      </c>
      <c r="B42" s="166" t="s">
        <v>322</v>
      </c>
      <c r="C42" s="167" t="s">
        <v>423</v>
      </c>
      <c r="D42" s="167" t="s">
        <v>424</v>
      </c>
    </row>
    <row r="43" spans="1:4" ht="13.5" customHeight="1" thickBot="1" x14ac:dyDescent="0.4">
      <c r="A43" s="165" t="s">
        <v>106</v>
      </c>
      <c r="B43" s="166" t="s">
        <v>322</v>
      </c>
      <c r="C43" s="168" t="s">
        <v>425</v>
      </c>
      <c r="D43" s="168" t="s">
        <v>406</v>
      </c>
    </row>
    <row r="44" spans="1:4" ht="14.25" customHeight="1" thickBot="1" x14ac:dyDescent="0.4">
      <c r="A44" s="165" t="s">
        <v>106</v>
      </c>
      <c r="B44" s="166" t="s">
        <v>322</v>
      </c>
      <c r="C44" s="169" t="s">
        <v>426</v>
      </c>
      <c r="D44" s="169" t="s">
        <v>427</v>
      </c>
    </row>
    <row r="45" spans="1:4" ht="13.5" customHeight="1" thickBot="1" x14ac:dyDescent="0.4">
      <c r="A45" s="165" t="s">
        <v>106</v>
      </c>
      <c r="B45" s="166" t="s">
        <v>322</v>
      </c>
      <c r="C45" s="168" t="s">
        <v>428</v>
      </c>
      <c r="D45" s="168" t="s">
        <v>429</v>
      </c>
    </row>
    <row r="46" spans="1:4" ht="13.5" customHeight="1" thickBot="1" x14ac:dyDescent="0.4">
      <c r="A46" s="165" t="s">
        <v>106</v>
      </c>
      <c r="B46" s="166" t="s">
        <v>322</v>
      </c>
      <c r="C46" s="169" t="s">
        <v>430</v>
      </c>
      <c r="D46" s="169" t="s">
        <v>431</v>
      </c>
    </row>
    <row r="47" spans="1:4" ht="15.75" customHeight="1" thickBot="1" x14ac:dyDescent="0.4">
      <c r="A47" s="165" t="s">
        <v>106</v>
      </c>
      <c r="B47" s="166" t="s">
        <v>322</v>
      </c>
      <c r="C47" s="168" t="s">
        <v>432</v>
      </c>
      <c r="D47" s="168" t="s">
        <v>433</v>
      </c>
    </row>
    <row r="48" spans="1:4" ht="14.25" customHeight="1" thickBot="1" x14ac:dyDescent="0.4">
      <c r="A48" s="165" t="s">
        <v>106</v>
      </c>
      <c r="B48" s="166" t="s">
        <v>322</v>
      </c>
      <c r="C48" s="169" t="s">
        <v>434</v>
      </c>
      <c r="D48" s="169" t="s">
        <v>431</v>
      </c>
    </row>
    <row r="49" spans="1:4" ht="12.75" customHeight="1" thickBot="1" x14ac:dyDescent="0.4">
      <c r="A49" s="165" t="s">
        <v>106</v>
      </c>
      <c r="B49" s="166" t="s">
        <v>322</v>
      </c>
      <c r="C49" s="168" t="s">
        <v>435</v>
      </c>
      <c r="D49" s="168" t="s">
        <v>436</v>
      </c>
    </row>
    <row r="50" spans="1:4" ht="16.5" customHeight="1" thickBot="1" x14ac:dyDescent="0.4">
      <c r="A50" s="165" t="s">
        <v>106</v>
      </c>
      <c r="B50" s="166" t="s">
        <v>322</v>
      </c>
      <c r="C50" s="169" t="s">
        <v>437</v>
      </c>
      <c r="D50" s="169" t="s">
        <v>438</v>
      </c>
    </row>
    <row r="51" spans="1:4" ht="15.75" customHeight="1" thickBot="1" x14ac:dyDescent="0.4">
      <c r="A51" s="165" t="s">
        <v>106</v>
      </c>
      <c r="B51" s="166" t="s">
        <v>322</v>
      </c>
      <c r="C51" s="168" t="s">
        <v>439</v>
      </c>
      <c r="D51" s="168" t="s">
        <v>440</v>
      </c>
    </row>
    <row r="52" spans="1:4" ht="15" customHeight="1" thickBot="1" x14ac:dyDescent="0.4">
      <c r="A52" s="165" t="s">
        <v>106</v>
      </c>
      <c r="B52" s="166" t="s">
        <v>385</v>
      </c>
      <c r="C52" s="167" t="s">
        <v>441</v>
      </c>
      <c r="D52" s="167" t="s">
        <v>442</v>
      </c>
    </row>
    <row r="53" spans="1:4" ht="16.5" customHeight="1" thickBot="1" x14ac:dyDescent="0.4">
      <c r="A53" s="165" t="s">
        <v>106</v>
      </c>
      <c r="B53" s="166" t="s">
        <v>385</v>
      </c>
      <c r="C53" s="168" t="s">
        <v>443</v>
      </c>
      <c r="D53" s="168" t="s">
        <v>444</v>
      </c>
    </row>
    <row r="54" spans="1:4" ht="15.75" customHeight="1" thickBot="1" x14ac:dyDescent="0.4">
      <c r="A54" s="165" t="s">
        <v>106</v>
      </c>
      <c r="B54" s="166" t="s">
        <v>385</v>
      </c>
      <c r="C54" s="169" t="s">
        <v>445</v>
      </c>
      <c r="D54" s="169" t="s">
        <v>446</v>
      </c>
    </row>
    <row r="55" spans="1:4" ht="15" customHeight="1" thickBot="1" x14ac:dyDescent="0.4">
      <c r="A55" s="165" t="s">
        <v>106</v>
      </c>
      <c r="B55" s="166" t="s">
        <v>385</v>
      </c>
      <c r="C55" s="168" t="s">
        <v>447</v>
      </c>
      <c r="D55" s="168" t="s">
        <v>448</v>
      </c>
    </row>
    <row r="56" spans="1:4" ht="10.5" customHeight="1" thickBot="1" x14ac:dyDescent="0.4">
      <c r="A56" s="165" t="s">
        <v>106</v>
      </c>
      <c r="B56" s="166" t="s">
        <v>385</v>
      </c>
      <c r="C56" s="169" t="s">
        <v>449</v>
      </c>
      <c r="D56" s="169" t="s">
        <v>450</v>
      </c>
    </row>
    <row r="57" spans="1:4" ht="12" customHeight="1" thickBot="1" x14ac:dyDescent="0.4">
      <c r="A57" s="165" t="s">
        <v>106</v>
      </c>
      <c r="B57" s="166" t="s">
        <v>385</v>
      </c>
      <c r="C57" s="168" t="s">
        <v>451</v>
      </c>
      <c r="D57" s="168" t="s">
        <v>395</v>
      </c>
    </row>
    <row r="58" spans="1:4" ht="15" customHeight="1" thickBot="1" x14ac:dyDescent="0.4">
      <c r="A58" s="165" t="s">
        <v>106</v>
      </c>
      <c r="B58" s="166" t="s">
        <v>385</v>
      </c>
      <c r="C58" s="169" t="s">
        <v>452</v>
      </c>
      <c r="D58" s="169" t="s">
        <v>429</v>
      </c>
    </row>
    <row r="59" spans="1:4" ht="14.25" customHeight="1" thickBot="1" x14ac:dyDescent="0.4">
      <c r="A59" s="165" t="s">
        <v>106</v>
      </c>
      <c r="B59" s="166" t="s">
        <v>385</v>
      </c>
      <c r="C59" s="168" t="s">
        <v>423</v>
      </c>
      <c r="D59" s="168" t="s">
        <v>453</v>
      </c>
    </row>
    <row r="60" spans="1:4" ht="12" customHeight="1" thickBot="1" x14ac:dyDescent="0.4">
      <c r="A60" s="165" t="s">
        <v>106</v>
      </c>
      <c r="B60" s="166" t="s">
        <v>385</v>
      </c>
      <c r="C60" s="169" t="s">
        <v>454</v>
      </c>
      <c r="D60" s="169" t="s">
        <v>455</v>
      </c>
    </row>
    <row r="61" spans="1:4" ht="15" customHeight="1" thickBot="1" x14ac:dyDescent="0.4">
      <c r="A61" s="165" t="s">
        <v>106</v>
      </c>
      <c r="B61" s="166" t="s">
        <v>385</v>
      </c>
      <c r="C61" s="168" t="s">
        <v>456</v>
      </c>
      <c r="D61" s="168" t="s">
        <v>457</v>
      </c>
    </row>
    <row r="62" spans="1:4" ht="12.75" customHeight="1" thickBot="1" x14ac:dyDescent="0.4">
      <c r="A62" s="165" t="s">
        <v>31</v>
      </c>
      <c r="B62" s="166" t="s">
        <v>346</v>
      </c>
      <c r="C62" s="167" t="s">
        <v>458</v>
      </c>
      <c r="D62" s="167" t="s">
        <v>459</v>
      </c>
    </row>
    <row r="63" spans="1:4" ht="12.75" customHeight="1" thickBot="1" x14ac:dyDescent="0.4">
      <c r="A63" s="165" t="s">
        <v>31</v>
      </c>
      <c r="B63" s="166" t="s">
        <v>346</v>
      </c>
      <c r="C63" s="168" t="s">
        <v>460</v>
      </c>
      <c r="D63" s="168" t="s">
        <v>461</v>
      </c>
    </row>
    <row r="64" spans="1:4" ht="12.75" customHeight="1" thickBot="1" x14ac:dyDescent="0.4">
      <c r="A64" s="165" t="s">
        <v>31</v>
      </c>
      <c r="B64" s="166" t="s">
        <v>346</v>
      </c>
      <c r="C64" s="169" t="s">
        <v>462</v>
      </c>
      <c r="D64" s="169" t="s">
        <v>463</v>
      </c>
    </row>
    <row r="65" spans="1:4" ht="12.75" customHeight="1" thickBot="1" x14ac:dyDescent="0.4">
      <c r="A65" s="165" t="s">
        <v>31</v>
      </c>
      <c r="B65" s="166" t="s">
        <v>346</v>
      </c>
      <c r="C65" s="168" t="s">
        <v>464</v>
      </c>
      <c r="D65" s="168" t="s">
        <v>465</v>
      </c>
    </row>
    <row r="66" spans="1:4" ht="12.75" customHeight="1" thickBot="1" x14ac:dyDescent="0.4">
      <c r="A66" s="165" t="s">
        <v>31</v>
      </c>
      <c r="B66" s="166" t="s">
        <v>346</v>
      </c>
      <c r="C66" s="169" t="s">
        <v>466</v>
      </c>
      <c r="D66" s="169" t="s">
        <v>467</v>
      </c>
    </row>
    <row r="67" spans="1:4" ht="12.75" customHeight="1" thickBot="1" x14ac:dyDescent="0.4">
      <c r="A67" s="165" t="s">
        <v>31</v>
      </c>
      <c r="B67" s="166" t="s">
        <v>346</v>
      </c>
      <c r="C67" s="168" t="s">
        <v>468</v>
      </c>
      <c r="D67" s="168" t="s">
        <v>469</v>
      </c>
    </row>
    <row r="68" spans="1:4" ht="12.75" customHeight="1" thickBot="1" x14ac:dyDescent="0.4">
      <c r="A68" s="165" t="s">
        <v>31</v>
      </c>
      <c r="B68" s="166" t="s">
        <v>346</v>
      </c>
      <c r="C68" s="169" t="s">
        <v>470</v>
      </c>
      <c r="D68" s="169" t="s">
        <v>471</v>
      </c>
    </row>
    <row r="69" spans="1:4" ht="12.75" customHeight="1" thickBot="1" x14ac:dyDescent="0.4">
      <c r="A69" s="165" t="s">
        <v>31</v>
      </c>
      <c r="B69" s="166" t="s">
        <v>346</v>
      </c>
      <c r="C69" s="168" t="s">
        <v>472</v>
      </c>
      <c r="D69" s="168" t="s">
        <v>473</v>
      </c>
    </row>
    <row r="70" spans="1:4" ht="12.75" customHeight="1" thickBot="1" x14ac:dyDescent="0.4">
      <c r="A70" s="165" t="s">
        <v>31</v>
      </c>
      <c r="B70" s="166" t="s">
        <v>346</v>
      </c>
      <c r="C70" s="169" t="s">
        <v>474</v>
      </c>
      <c r="D70" s="169" t="s">
        <v>475</v>
      </c>
    </row>
    <row r="71" spans="1:4" ht="12.75" customHeight="1" thickBot="1" x14ac:dyDescent="0.4">
      <c r="A71" s="165" t="s">
        <v>31</v>
      </c>
      <c r="B71" s="166" t="s">
        <v>346</v>
      </c>
      <c r="C71" s="168" t="s">
        <v>476</v>
      </c>
      <c r="D71" s="168" t="s">
        <v>477</v>
      </c>
    </row>
    <row r="72" spans="1:4" ht="12.75" customHeight="1" thickBot="1" x14ac:dyDescent="0.4">
      <c r="A72" s="165" t="s">
        <v>31</v>
      </c>
      <c r="B72" s="166" t="s">
        <v>322</v>
      </c>
      <c r="C72" s="167" t="s">
        <v>478</v>
      </c>
      <c r="D72" s="167" t="s">
        <v>479</v>
      </c>
    </row>
    <row r="73" spans="1:4" ht="12.75" customHeight="1" thickBot="1" x14ac:dyDescent="0.4">
      <c r="A73" s="165" t="s">
        <v>31</v>
      </c>
      <c r="B73" s="166" t="s">
        <v>322</v>
      </c>
      <c r="C73" s="168" t="s">
        <v>480</v>
      </c>
      <c r="D73" s="168" t="s">
        <v>481</v>
      </c>
    </row>
    <row r="74" spans="1:4" ht="12.75" customHeight="1" thickBot="1" x14ac:dyDescent="0.4">
      <c r="A74" s="165" t="s">
        <v>31</v>
      </c>
      <c r="B74" s="166" t="s">
        <v>322</v>
      </c>
      <c r="C74" s="169" t="s">
        <v>482</v>
      </c>
      <c r="D74" s="169" t="s">
        <v>483</v>
      </c>
    </row>
    <row r="75" spans="1:4" ht="12.75" customHeight="1" thickBot="1" x14ac:dyDescent="0.4">
      <c r="A75" s="165" t="s">
        <v>31</v>
      </c>
      <c r="B75" s="166" t="s">
        <v>322</v>
      </c>
      <c r="C75" s="168" t="s">
        <v>484</v>
      </c>
      <c r="D75" s="168" t="s">
        <v>485</v>
      </c>
    </row>
    <row r="76" spans="1:4" ht="12.75" customHeight="1" thickBot="1" x14ac:dyDescent="0.4">
      <c r="A76" s="165" t="s">
        <v>31</v>
      </c>
      <c r="B76" s="166" t="s">
        <v>322</v>
      </c>
      <c r="C76" s="169" t="s">
        <v>486</v>
      </c>
      <c r="D76" s="169" t="s">
        <v>487</v>
      </c>
    </row>
    <row r="77" spans="1:4" ht="12.75" customHeight="1" thickBot="1" x14ac:dyDescent="0.4">
      <c r="A77" s="165" t="s">
        <v>31</v>
      </c>
      <c r="B77" s="166" t="s">
        <v>322</v>
      </c>
      <c r="C77" s="168" t="s">
        <v>488</v>
      </c>
      <c r="D77" s="168" t="s">
        <v>429</v>
      </c>
    </row>
    <row r="78" spans="1:4" ht="12.75" customHeight="1" thickBot="1" x14ac:dyDescent="0.4">
      <c r="A78" s="165" t="s">
        <v>31</v>
      </c>
      <c r="B78" s="166" t="s">
        <v>322</v>
      </c>
      <c r="C78" s="169" t="s">
        <v>489</v>
      </c>
      <c r="D78" s="169" t="s">
        <v>490</v>
      </c>
    </row>
    <row r="79" spans="1:4" ht="12.75" customHeight="1" thickBot="1" x14ac:dyDescent="0.4">
      <c r="A79" s="165" t="s">
        <v>31</v>
      </c>
      <c r="B79" s="166" t="s">
        <v>322</v>
      </c>
      <c r="C79" s="168" t="s">
        <v>491</v>
      </c>
      <c r="D79" s="168" t="s">
        <v>487</v>
      </c>
    </row>
    <row r="80" spans="1:4" ht="12.75" customHeight="1" thickBot="1" x14ac:dyDescent="0.4">
      <c r="A80" s="165" t="s">
        <v>31</v>
      </c>
      <c r="B80" s="166" t="s">
        <v>322</v>
      </c>
      <c r="C80" s="169" t="s">
        <v>492</v>
      </c>
      <c r="D80" s="169" t="s">
        <v>493</v>
      </c>
    </row>
    <row r="81" spans="1:4" ht="12.75" customHeight="1" thickBot="1" x14ac:dyDescent="0.4">
      <c r="A81" s="165" t="s">
        <v>31</v>
      </c>
      <c r="B81" s="166" t="s">
        <v>322</v>
      </c>
      <c r="C81" s="168" t="s">
        <v>494</v>
      </c>
      <c r="D81" s="168" t="s">
        <v>495</v>
      </c>
    </row>
    <row r="82" spans="1:4" ht="12.75" customHeight="1" thickBot="1" x14ac:dyDescent="0.4">
      <c r="A82" s="165" t="s">
        <v>31</v>
      </c>
      <c r="B82" s="166" t="s">
        <v>385</v>
      </c>
      <c r="C82" s="167" t="s">
        <v>496</v>
      </c>
      <c r="D82" s="167" t="s">
        <v>497</v>
      </c>
    </row>
    <row r="83" spans="1:4" ht="12.75" customHeight="1" thickBot="1" x14ac:dyDescent="0.4">
      <c r="A83" s="165" t="s">
        <v>31</v>
      </c>
      <c r="B83" s="166" t="s">
        <v>385</v>
      </c>
      <c r="C83" s="168" t="s">
        <v>498</v>
      </c>
      <c r="D83" s="168" t="s">
        <v>493</v>
      </c>
    </row>
    <row r="84" spans="1:4" ht="12.75" customHeight="1" thickBot="1" x14ac:dyDescent="0.4">
      <c r="A84" s="165" t="s">
        <v>31</v>
      </c>
      <c r="B84" s="166" t="s">
        <v>385</v>
      </c>
      <c r="C84" s="169" t="s">
        <v>499</v>
      </c>
      <c r="D84" s="169" t="s">
        <v>500</v>
      </c>
    </row>
    <row r="85" spans="1:4" ht="12.75" customHeight="1" thickBot="1" x14ac:dyDescent="0.4">
      <c r="A85" s="165" t="s">
        <v>31</v>
      </c>
      <c r="B85" s="166" t="s">
        <v>385</v>
      </c>
      <c r="C85" s="168" t="s">
        <v>501</v>
      </c>
      <c r="D85" s="168" t="s">
        <v>495</v>
      </c>
    </row>
    <row r="86" spans="1:4" ht="12.75" customHeight="1" thickBot="1" x14ac:dyDescent="0.4">
      <c r="A86" s="165" t="s">
        <v>31</v>
      </c>
      <c r="B86" s="166" t="s">
        <v>385</v>
      </c>
      <c r="C86" s="169" t="s">
        <v>502</v>
      </c>
      <c r="D86" s="169" t="s">
        <v>503</v>
      </c>
    </row>
    <row r="87" spans="1:4" ht="12.75" customHeight="1" thickBot="1" x14ac:dyDescent="0.4">
      <c r="A87" s="165" t="s">
        <v>31</v>
      </c>
      <c r="B87" s="166" t="s">
        <v>385</v>
      </c>
      <c r="C87" s="168" t="s">
        <v>504</v>
      </c>
      <c r="D87" s="168" t="s">
        <v>429</v>
      </c>
    </row>
    <row r="88" spans="1:4" ht="12.75" customHeight="1" thickBot="1" x14ac:dyDescent="0.4">
      <c r="A88" s="165" t="s">
        <v>31</v>
      </c>
      <c r="B88" s="166" t="s">
        <v>385</v>
      </c>
      <c r="C88" s="169" t="s">
        <v>505</v>
      </c>
      <c r="D88" s="169" t="s">
        <v>506</v>
      </c>
    </row>
    <row r="89" spans="1:4" ht="12.75" customHeight="1" thickBot="1" x14ac:dyDescent="0.4">
      <c r="A89" s="165" t="s">
        <v>31</v>
      </c>
      <c r="B89" s="166" t="s">
        <v>385</v>
      </c>
      <c r="C89" s="168" t="s">
        <v>507</v>
      </c>
      <c r="D89" s="168" t="s">
        <v>508</v>
      </c>
    </row>
    <row r="90" spans="1:4" ht="12.75" customHeight="1" thickBot="1" x14ac:dyDescent="0.4">
      <c r="A90" s="165" t="s">
        <v>31</v>
      </c>
      <c r="B90" s="166" t="s">
        <v>385</v>
      </c>
      <c r="C90" s="169" t="s">
        <v>509</v>
      </c>
      <c r="D90" s="169" t="s">
        <v>510</v>
      </c>
    </row>
    <row r="91" spans="1:4" ht="12.75" customHeight="1" thickBot="1" x14ac:dyDescent="0.4">
      <c r="A91" s="165" t="s">
        <v>31</v>
      </c>
      <c r="B91" s="166" t="s">
        <v>385</v>
      </c>
      <c r="C91" s="168" t="s">
        <v>511</v>
      </c>
      <c r="D91" s="168" t="s">
        <v>429</v>
      </c>
    </row>
    <row r="92" spans="1:4" ht="12.75" customHeight="1" thickBot="1" x14ac:dyDescent="0.4">
      <c r="A92" s="165" t="s">
        <v>32</v>
      </c>
      <c r="B92" s="166" t="s">
        <v>346</v>
      </c>
      <c r="C92" s="167" t="s">
        <v>512</v>
      </c>
      <c r="D92" s="167" t="s">
        <v>513</v>
      </c>
    </row>
    <row r="93" spans="1:4" ht="12.75" customHeight="1" thickBot="1" x14ac:dyDescent="0.4">
      <c r="A93" s="165" t="s">
        <v>32</v>
      </c>
      <c r="B93" s="166" t="s">
        <v>346</v>
      </c>
      <c r="C93" s="168" t="s">
        <v>514</v>
      </c>
      <c r="D93" s="168" t="s">
        <v>515</v>
      </c>
    </row>
    <row r="94" spans="1:4" ht="12.75" customHeight="1" thickBot="1" x14ac:dyDescent="0.4">
      <c r="A94" s="165" t="s">
        <v>32</v>
      </c>
      <c r="B94" s="166" t="s">
        <v>346</v>
      </c>
      <c r="C94" s="169" t="s">
        <v>516</v>
      </c>
      <c r="D94" s="169" t="s">
        <v>517</v>
      </c>
    </row>
    <row r="95" spans="1:4" ht="12.75" customHeight="1" thickBot="1" x14ac:dyDescent="0.4">
      <c r="A95" s="165" t="s">
        <v>32</v>
      </c>
      <c r="B95" s="166" t="s">
        <v>346</v>
      </c>
      <c r="C95" s="168" t="s">
        <v>518</v>
      </c>
      <c r="D95" s="168" t="s">
        <v>519</v>
      </c>
    </row>
    <row r="96" spans="1:4" ht="12.75" customHeight="1" thickBot="1" x14ac:dyDescent="0.4">
      <c r="A96" s="165" t="s">
        <v>32</v>
      </c>
      <c r="B96" s="166" t="s">
        <v>346</v>
      </c>
      <c r="C96" s="169" t="s">
        <v>520</v>
      </c>
      <c r="D96" s="170" t="s">
        <v>69</v>
      </c>
    </row>
    <row r="97" spans="1:4" ht="12.75" customHeight="1" thickBot="1" x14ac:dyDescent="0.4">
      <c r="A97" s="165" t="s">
        <v>32</v>
      </c>
      <c r="B97" s="166" t="s">
        <v>346</v>
      </c>
      <c r="C97" s="168" t="s">
        <v>521</v>
      </c>
      <c r="D97" s="168" t="s">
        <v>522</v>
      </c>
    </row>
    <row r="98" spans="1:4" ht="12.75" customHeight="1" thickBot="1" x14ac:dyDescent="0.4">
      <c r="A98" s="165" t="s">
        <v>32</v>
      </c>
      <c r="B98" s="166" t="s">
        <v>346</v>
      </c>
      <c r="C98" s="169" t="s">
        <v>523</v>
      </c>
      <c r="D98" s="169" t="s">
        <v>524</v>
      </c>
    </row>
    <row r="99" spans="1:4" ht="12.75" customHeight="1" thickBot="1" x14ac:dyDescent="0.4">
      <c r="A99" s="165" t="s">
        <v>32</v>
      </c>
      <c r="B99" s="166" t="s">
        <v>346</v>
      </c>
      <c r="C99" s="168" t="s">
        <v>525</v>
      </c>
      <c r="D99" s="168" t="s">
        <v>526</v>
      </c>
    </row>
    <row r="100" spans="1:4" ht="12.75" customHeight="1" thickBot="1" x14ac:dyDescent="0.4">
      <c r="A100" s="165" t="s">
        <v>32</v>
      </c>
      <c r="B100" s="166" t="s">
        <v>346</v>
      </c>
      <c r="C100" s="169" t="s">
        <v>527</v>
      </c>
      <c r="D100" s="169" t="s">
        <v>528</v>
      </c>
    </row>
    <row r="101" spans="1:4" ht="12.75" customHeight="1" thickBot="1" x14ac:dyDescent="0.4">
      <c r="A101" s="165" t="s">
        <v>32</v>
      </c>
      <c r="B101" s="166" t="s">
        <v>346</v>
      </c>
      <c r="C101" s="168" t="s">
        <v>529</v>
      </c>
      <c r="D101" s="168" t="s">
        <v>429</v>
      </c>
    </row>
    <row r="102" spans="1:4" ht="12.75" customHeight="1" thickBot="1" x14ac:dyDescent="0.4">
      <c r="A102" s="165" t="s">
        <v>32</v>
      </c>
      <c r="B102" s="166" t="s">
        <v>322</v>
      </c>
      <c r="C102" s="169" t="s">
        <v>530</v>
      </c>
      <c r="D102" s="169" t="s">
        <v>531</v>
      </c>
    </row>
    <row r="103" spans="1:4" ht="12.75" customHeight="1" thickBot="1" x14ac:dyDescent="0.4">
      <c r="A103" s="165" t="s">
        <v>32</v>
      </c>
      <c r="B103" s="166" t="s">
        <v>322</v>
      </c>
      <c r="C103" s="168" t="s">
        <v>532</v>
      </c>
      <c r="D103" s="168" t="s">
        <v>533</v>
      </c>
    </row>
    <row r="104" spans="1:4" ht="12.75" customHeight="1" thickBot="1" x14ac:dyDescent="0.4">
      <c r="A104" s="165" t="s">
        <v>32</v>
      </c>
      <c r="B104" s="166" t="s">
        <v>322</v>
      </c>
      <c r="C104" s="169" t="s">
        <v>534</v>
      </c>
      <c r="D104" s="169" t="s">
        <v>535</v>
      </c>
    </row>
    <row r="105" spans="1:4" ht="12.75" customHeight="1" thickBot="1" x14ac:dyDescent="0.4">
      <c r="A105" s="165" t="s">
        <v>32</v>
      </c>
      <c r="B105" s="166" t="s">
        <v>322</v>
      </c>
      <c r="C105" s="168" t="s">
        <v>536</v>
      </c>
      <c r="D105" s="168" t="s">
        <v>537</v>
      </c>
    </row>
    <row r="106" spans="1:4" ht="12.75" customHeight="1" thickBot="1" x14ac:dyDescent="0.4">
      <c r="A106" s="165" t="s">
        <v>32</v>
      </c>
      <c r="B106" s="166" t="s">
        <v>322</v>
      </c>
      <c r="C106" s="169" t="s">
        <v>538</v>
      </c>
      <c r="D106" s="169" t="s">
        <v>539</v>
      </c>
    </row>
    <row r="107" spans="1:4" ht="12.75" customHeight="1" thickBot="1" x14ac:dyDescent="0.4">
      <c r="A107" s="165" t="s">
        <v>32</v>
      </c>
      <c r="B107" s="166" t="s">
        <v>322</v>
      </c>
      <c r="C107" s="168" t="s">
        <v>540</v>
      </c>
      <c r="D107" s="168" t="s">
        <v>541</v>
      </c>
    </row>
    <row r="108" spans="1:4" ht="12.75" customHeight="1" thickBot="1" x14ac:dyDescent="0.4">
      <c r="A108" s="165" t="s">
        <v>32</v>
      </c>
      <c r="B108" s="166" t="s">
        <v>322</v>
      </c>
      <c r="C108" s="169" t="s">
        <v>542</v>
      </c>
      <c r="D108" s="169" t="s">
        <v>543</v>
      </c>
    </row>
    <row r="109" spans="1:4" ht="12.75" customHeight="1" thickBot="1" x14ac:dyDescent="0.4">
      <c r="A109" s="165" t="s">
        <v>32</v>
      </c>
      <c r="B109" s="166" t="s">
        <v>322</v>
      </c>
      <c r="C109" s="168" t="s">
        <v>544</v>
      </c>
      <c r="D109" s="168" t="s">
        <v>545</v>
      </c>
    </row>
    <row r="110" spans="1:4" ht="12.75" customHeight="1" thickBot="1" x14ac:dyDescent="0.4">
      <c r="A110" s="165" t="s">
        <v>32</v>
      </c>
      <c r="B110" s="166" t="s">
        <v>322</v>
      </c>
      <c r="C110" s="169" t="s">
        <v>546</v>
      </c>
      <c r="D110" s="169" t="s">
        <v>547</v>
      </c>
    </row>
    <row r="111" spans="1:4" ht="12.75" customHeight="1" thickBot="1" x14ac:dyDescent="0.4">
      <c r="A111" s="165" t="s">
        <v>32</v>
      </c>
      <c r="B111" s="166" t="s">
        <v>322</v>
      </c>
      <c r="C111" s="168" t="s">
        <v>548</v>
      </c>
      <c r="D111" s="168" t="s">
        <v>549</v>
      </c>
    </row>
    <row r="112" spans="1:4" ht="12.75" customHeight="1" thickBot="1" x14ac:dyDescent="0.4">
      <c r="A112" s="165" t="s">
        <v>32</v>
      </c>
      <c r="B112" s="166" t="s">
        <v>385</v>
      </c>
      <c r="C112" s="169" t="s">
        <v>550</v>
      </c>
      <c r="D112" s="169" t="s">
        <v>551</v>
      </c>
    </row>
    <row r="113" spans="1:4" ht="12.75" customHeight="1" thickBot="1" x14ac:dyDescent="0.4">
      <c r="A113" s="165" t="s">
        <v>32</v>
      </c>
      <c r="B113" s="166" t="s">
        <v>385</v>
      </c>
      <c r="C113" s="168" t="s">
        <v>552</v>
      </c>
      <c r="D113" s="168" t="s">
        <v>553</v>
      </c>
    </row>
    <row r="114" spans="1:4" ht="12.75" customHeight="1" thickBot="1" x14ac:dyDescent="0.4">
      <c r="A114" s="165" t="s">
        <v>32</v>
      </c>
      <c r="B114" s="166" t="s">
        <v>385</v>
      </c>
      <c r="C114" s="169" t="s">
        <v>554</v>
      </c>
      <c r="D114" s="169" t="s">
        <v>555</v>
      </c>
    </row>
    <row r="115" spans="1:4" ht="12.75" customHeight="1" thickBot="1" x14ac:dyDescent="0.4">
      <c r="A115" s="165" t="s">
        <v>32</v>
      </c>
      <c r="B115" s="166" t="s">
        <v>385</v>
      </c>
      <c r="C115" s="168" t="s">
        <v>556</v>
      </c>
      <c r="D115" s="168" t="s">
        <v>557</v>
      </c>
    </row>
    <row r="116" spans="1:4" ht="12.75" customHeight="1" thickBot="1" x14ac:dyDescent="0.4">
      <c r="A116" s="165" t="s">
        <v>32</v>
      </c>
      <c r="B116" s="166" t="s">
        <v>385</v>
      </c>
      <c r="C116" s="169" t="s">
        <v>558</v>
      </c>
      <c r="D116" s="169" t="s">
        <v>559</v>
      </c>
    </row>
    <row r="117" spans="1:4" ht="12.75" customHeight="1" thickBot="1" x14ac:dyDescent="0.4">
      <c r="A117" s="165" t="s">
        <v>32</v>
      </c>
      <c r="B117" s="166" t="s">
        <v>385</v>
      </c>
      <c r="C117" s="168" t="s">
        <v>560</v>
      </c>
      <c r="D117" s="168" t="s">
        <v>561</v>
      </c>
    </row>
    <row r="118" spans="1:4" ht="12.75" customHeight="1" thickBot="1" x14ac:dyDescent="0.4">
      <c r="A118" s="165" t="s">
        <v>32</v>
      </c>
      <c r="B118" s="166" t="s">
        <v>385</v>
      </c>
      <c r="C118" s="169" t="s">
        <v>562</v>
      </c>
      <c r="D118" s="169" t="s">
        <v>563</v>
      </c>
    </row>
    <row r="119" spans="1:4" ht="12.75" customHeight="1" thickBot="1" x14ac:dyDescent="0.4">
      <c r="A119" s="165" t="s">
        <v>32</v>
      </c>
      <c r="B119" s="166" t="s">
        <v>385</v>
      </c>
      <c r="C119" s="168" t="s">
        <v>564</v>
      </c>
      <c r="D119" s="168" t="s">
        <v>481</v>
      </c>
    </row>
    <row r="120" spans="1:4" ht="12.75" customHeight="1" thickBot="1" x14ac:dyDescent="0.4">
      <c r="A120" s="165" t="s">
        <v>32</v>
      </c>
      <c r="B120" s="166" t="s">
        <v>385</v>
      </c>
      <c r="C120" s="169" t="s">
        <v>565</v>
      </c>
      <c r="D120" s="169" t="s">
        <v>566</v>
      </c>
    </row>
    <row r="121" spans="1:4" ht="12.75" customHeight="1" thickBot="1" x14ac:dyDescent="0.4">
      <c r="A121" s="165" t="s">
        <v>32</v>
      </c>
      <c r="B121" s="166" t="s">
        <v>385</v>
      </c>
      <c r="C121" s="168" t="s">
        <v>567</v>
      </c>
      <c r="D121" s="168" t="s">
        <v>545</v>
      </c>
    </row>
    <row r="122" spans="1:4" ht="12.75" customHeight="1" thickBot="1" x14ac:dyDescent="0.4">
      <c r="A122" s="165" t="s">
        <v>33</v>
      </c>
      <c r="B122" s="166" t="s">
        <v>346</v>
      </c>
      <c r="C122" s="167" t="s">
        <v>568</v>
      </c>
      <c r="D122" s="167" t="s">
        <v>569</v>
      </c>
    </row>
    <row r="123" spans="1:4" ht="12.75" customHeight="1" thickBot="1" x14ac:dyDescent="0.4">
      <c r="A123" s="165" t="s">
        <v>33</v>
      </c>
      <c r="B123" s="166" t="s">
        <v>346</v>
      </c>
      <c r="C123" s="168" t="s">
        <v>476</v>
      </c>
      <c r="D123" s="168" t="s">
        <v>570</v>
      </c>
    </row>
    <row r="124" spans="1:4" ht="12.75" customHeight="1" thickBot="1" x14ac:dyDescent="0.4">
      <c r="A124" s="165" t="s">
        <v>33</v>
      </c>
      <c r="B124" s="166" t="s">
        <v>346</v>
      </c>
      <c r="C124" s="169" t="s">
        <v>571</v>
      </c>
      <c r="D124" s="169" t="s">
        <v>572</v>
      </c>
    </row>
    <row r="125" spans="1:4" ht="12.75" customHeight="1" thickBot="1" x14ac:dyDescent="0.4">
      <c r="A125" s="165" t="s">
        <v>33</v>
      </c>
      <c r="B125" s="166" t="s">
        <v>346</v>
      </c>
      <c r="C125" s="168" t="s">
        <v>573</v>
      </c>
      <c r="D125" s="168" t="s">
        <v>366</v>
      </c>
    </row>
    <row r="126" spans="1:4" ht="12.75" customHeight="1" thickBot="1" x14ac:dyDescent="0.4">
      <c r="A126" s="165" t="s">
        <v>33</v>
      </c>
      <c r="B126" s="166" t="s">
        <v>346</v>
      </c>
      <c r="C126" s="169" t="s">
        <v>574</v>
      </c>
      <c r="D126" s="169" t="s">
        <v>575</v>
      </c>
    </row>
    <row r="127" spans="1:4" ht="12.75" customHeight="1" thickBot="1" x14ac:dyDescent="0.4">
      <c r="A127" s="165" t="s">
        <v>33</v>
      </c>
      <c r="B127" s="166" t="s">
        <v>322</v>
      </c>
      <c r="C127" s="169" t="s">
        <v>576</v>
      </c>
      <c r="D127" s="169" t="s">
        <v>524</v>
      </c>
    </row>
    <row r="128" spans="1:4" ht="12.75" customHeight="1" thickBot="1" x14ac:dyDescent="0.4">
      <c r="A128" s="165" t="s">
        <v>33</v>
      </c>
      <c r="B128" s="166" t="s">
        <v>322</v>
      </c>
      <c r="C128" s="168" t="s">
        <v>577</v>
      </c>
      <c r="D128" s="168" t="s">
        <v>578</v>
      </c>
    </row>
    <row r="129" spans="1:4" ht="12.75" customHeight="1" thickBot="1" x14ac:dyDescent="0.4">
      <c r="A129" s="165" t="s">
        <v>33</v>
      </c>
      <c r="B129" s="166" t="s">
        <v>322</v>
      </c>
      <c r="C129" s="169" t="s">
        <v>579</v>
      </c>
      <c r="D129" s="169" t="s">
        <v>580</v>
      </c>
    </row>
    <row r="130" spans="1:4" ht="12.75" customHeight="1" thickBot="1" x14ac:dyDescent="0.4">
      <c r="A130" s="165" t="s">
        <v>33</v>
      </c>
      <c r="B130" s="166" t="s">
        <v>322</v>
      </c>
      <c r="C130" s="168" t="s">
        <v>581</v>
      </c>
      <c r="D130" s="168" t="s">
        <v>508</v>
      </c>
    </row>
    <row r="131" spans="1:4" ht="12.75" customHeight="1" thickBot="1" x14ac:dyDescent="0.4">
      <c r="A131" s="165" t="s">
        <v>33</v>
      </c>
      <c r="B131" s="166" t="s">
        <v>322</v>
      </c>
      <c r="C131" s="169" t="s">
        <v>582</v>
      </c>
      <c r="D131" s="169" t="s">
        <v>583</v>
      </c>
    </row>
    <row r="132" spans="1:4" ht="12.75" customHeight="1" thickBot="1" x14ac:dyDescent="0.4">
      <c r="A132" s="165" t="s">
        <v>33</v>
      </c>
      <c r="B132" s="166" t="s">
        <v>385</v>
      </c>
      <c r="C132" s="169" t="s">
        <v>584</v>
      </c>
      <c r="D132" s="169" t="s">
        <v>585</v>
      </c>
    </row>
    <row r="133" spans="1:4" ht="12.75" customHeight="1" thickBot="1" x14ac:dyDescent="0.4">
      <c r="A133" s="165" t="s">
        <v>33</v>
      </c>
      <c r="B133" s="166" t="s">
        <v>385</v>
      </c>
      <c r="C133" s="168" t="s">
        <v>586</v>
      </c>
      <c r="D133" s="168" t="s">
        <v>366</v>
      </c>
    </row>
    <row r="134" spans="1:4" ht="12.75" customHeight="1" thickBot="1" x14ac:dyDescent="0.4">
      <c r="A134" s="165" t="s">
        <v>33</v>
      </c>
      <c r="B134" s="166" t="s">
        <v>385</v>
      </c>
      <c r="C134" s="169" t="s">
        <v>587</v>
      </c>
      <c r="D134" s="169" t="s">
        <v>588</v>
      </c>
    </row>
    <row r="135" spans="1:4" ht="12.75" customHeight="1" thickBot="1" x14ac:dyDescent="0.4">
      <c r="A135" s="165" t="s">
        <v>33</v>
      </c>
      <c r="B135" s="166" t="s">
        <v>385</v>
      </c>
      <c r="C135" s="168" t="s">
        <v>589</v>
      </c>
      <c r="D135" s="168" t="s">
        <v>590</v>
      </c>
    </row>
    <row r="136" spans="1:4" ht="12.75" customHeight="1" thickBot="1" x14ac:dyDescent="0.4">
      <c r="A136" s="165" t="s">
        <v>33</v>
      </c>
      <c r="B136" s="166" t="s">
        <v>385</v>
      </c>
      <c r="C136" s="169" t="s">
        <v>591</v>
      </c>
      <c r="D136" s="169" t="s">
        <v>592</v>
      </c>
    </row>
    <row r="137" spans="1:4" ht="12.75" customHeight="1" thickBot="1" x14ac:dyDescent="0.4">
      <c r="A137" s="165" t="s">
        <v>34</v>
      </c>
      <c r="B137" s="166" t="s">
        <v>346</v>
      </c>
      <c r="C137" s="167" t="s">
        <v>593</v>
      </c>
      <c r="D137" s="167" t="s">
        <v>594</v>
      </c>
    </row>
    <row r="138" spans="1:4" ht="12.75" customHeight="1" thickBot="1" x14ac:dyDescent="0.4">
      <c r="A138" s="165" t="s">
        <v>34</v>
      </c>
      <c r="B138" s="166" t="s">
        <v>346</v>
      </c>
      <c r="C138" s="168" t="s">
        <v>595</v>
      </c>
      <c r="D138" s="168" t="s">
        <v>596</v>
      </c>
    </row>
    <row r="139" spans="1:4" ht="12.75" customHeight="1" thickBot="1" x14ac:dyDescent="0.4">
      <c r="A139" s="165" t="s">
        <v>34</v>
      </c>
      <c r="B139" s="166" t="s">
        <v>346</v>
      </c>
      <c r="C139" s="169" t="s">
        <v>597</v>
      </c>
      <c r="D139" s="169" t="s">
        <v>598</v>
      </c>
    </row>
    <row r="140" spans="1:4" ht="12.75" customHeight="1" thickBot="1" x14ac:dyDescent="0.4">
      <c r="A140" s="165" t="s">
        <v>34</v>
      </c>
      <c r="B140" s="166" t="s">
        <v>346</v>
      </c>
      <c r="C140" s="168" t="s">
        <v>494</v>
      </c>
      <c r="D140" s="168" t="s">
        <v>495</v>
      </c>
    </row>
    <row r="141" spans="1:4" ht="12.75" customHeight="1" thickBot="1" x14ac:dyDescent="0.4">
      <c r="A141" s="165" t="s">
        <v>34</v>
      </c>
      <c r="B141" s="166" t="s">
        <v>346</v>
      </c>
      <c r="C141" s="169" t="s">
        <v>460</v>
      </c>
      <c r="D141" s="169" t="s">
        <v>461</v>
      </c>
    </row>
    <row r="142" spans="1:4" ht="12.75" customHeight="1" thickBot="1" x14ac:dyDescent="0.4">
      <c r="A142" s="165" t="s">
        <v>34</v>
      </c>
      <c r="B142" s="166" t="s">
        <v>322</v>
      </c>
      <c r="C142" s="169" t="s">
        <v>599</v>
      </c>
      <c r="D142" s="169" t="s">
        <v>600</v>
      </c>
    </row>
    <row r="143" spans="1:4" ht="12.75" customHeight="1" thickBot="1" x14ac:dyDescent="0.4">
      <c r="A143" s="165" t="s">
        <v>34</v>
      </c>
      <c r="B143" s="166" t="s">
        <v>322</v>
      </c>
      <c r="C143" s="168" t="s">
        <v>601</v>
      </c>
      <c r="D143" s="168" t="s">
        <v>602</v>
      </c>
    </row>
    <row r="144" spans="1:4" ht="12.75" customHeight="1" thickBot="1" x14ac:dyDescent="0.4">
      <c r="A144" s="165" t="s">
        <v>34</v>
      </c>
      <c r="B144" s="166" t="s">
        <v>322</v>
      </c>
      <c r="C144" s="169" t="s">
        <v>603</v>
      </c>
      <c r="D144" s="169" t="s">
        <v>604</v>
      </c>
    </row>
    <row r="145" spans="1:4" ht="12.75" customHeight="1" thickBot="1" x14ac:dyDescent="0.4">
      <c r="A145" s="165" t="s">
        <v>34</v>
      </c>
      <c r="B145" s="166" t="s">
        <v>322</v>
      </c>
      <c r="C145" s="168" t="s">
        <v>605</v>
      </c>
      <c r="D145" s="168" t="s">
        <v>606</v>
      </c>
    </row>
    <row r="146" spans="1:4" ht="12.75" customHeight="1" thickBot="1" x14ac:dyDescent="0.4">
      <c r="A146" s="165" t="s">
        <v>34</v>
      </c>
      <c r="B146" s="166" t="s">
        <v>322</v>
      </c>
      <c r="C146" s="169" t="s">
        <v>607</v>
      </c>
      <c r="D146" s="169" t="s">
        <v>508</v>
      </c>
    </row>
    <row r="147" spans="1:4" ht="12.75" customHeight="1" thickBot="1" x14ac:dyDescent="0.4">
      <c r="A147" s="165" t="s">
        <v>34</v>
      </c>
      <c r="B147" s="166" t="s">
        <v>385</v>
      </c>
      <c r="C147" s="169" t="s">
        <v>608</v>
      </c>
      <c r="D147" s="169" t="s">
        <v>566</v>
      </c>
    </row>
    <row r="148" spans="1:4" ht="12.75" customHeight="1" thickBot="1" x14ac:dyDescent="0.4">
      <c r="A148" s="165" t="s">
        <v>34</v>
      </c>
      <c r="B148" s="166" t="s">
        <v>385</v>
      </c>
      <c r="C148" s="168" t="s">
        <v>609</v>
      </c>
      <c r="D148" s="168" t="s">
        <v>610</v>
      </c>
    </row>
    <row r="149" spans="1:4" ht="12.75" customHeight="1" thickBot="1" x14ac:dyDescent="0.4">
      <c r="A149" s="165" t="s">
        <v>34</v>
      </c>
      <c r="B149" s="166" t="s">
        <v>385</v>
      </c>
      <c r="C149" s="169" t="s">
        <v>611</v>
      </c>
      <c r="D149" s="169" t="s">
        <v>429</v>
      </c>
    </row>
    <row r="150" spans="1:4" ht="12.75" customHeight="1" thickBot="1" x14ac:dyDescent="0.4">
      <c r="A150" s="165" t="s">
        <v>34</v>
      </c>
      <c r="B150" s="166" t="s">
        <v>385</v>
      </c>
      <c r="C150" s="168" t="s">
        <v>612</v>
      </c>
      <c r="D150" s="168" t="s">
        <v>508</v>
      </c>
    </row>
    <row r="151" spans="1:4" ht="12.75" customHeight="1" thickBot="1" x14ac:dyDescent="0.4">
      <c r="A151" s="165" t="s">
        <v>34</v>
      </c>
      <c r="B151" s="166" t="s">
        <v>385</v>
      </c>
      <c r="C151" s="169" t="s">
        <v>613</v>
      </c>
      <c r="D151" s="169" t="s">
        <v>614</v>
      </c>
    </row>
    <row r="152" spans="1:4" ht="15" customHeight="1" thickBot="1" x14ac:dyDescent="0.4">
      <c r="A152" s="165" t="s">
        <v>35</v>
      </c>
      <c r="B152" s="166" t="s">
        <v>346</v>
      </c>
      <c r="C152" s="167" t="s">
        <v>615</v>
      </c>
      <c r="D152" s="167" t="s">
        <v>366</v>
      </c>
    </row>
    <row r="153" spans="1:4" ht="12" customHeight="1" thickBot="1" x14ac:dyDescent="0.4">
      <c r="A153" s="165" t="s">
        <v>35</v>
      </c>
      <c r="B153" s="166" t="s">
        <v>346</v>
      </c>
      <c r="C153" s="168" t="s">
        <v>616</v>
      </c>
      <c r="D153" s="168" t="s">
        <v>391</v>
      </c>
    </row>
    <row r="154" spans="1:4" ht="13.5" customHeight="1" thickBot="1" x14ac:dyDescent="0.4">
      <c r="A154" s="165" t="s">
        <v>35</v>
      </c>
      <c r="B154" s="166" t="s">
        <v>346</v>
      </c>
      <c r="C154" s="169" t="s">
        <v>617</v>
      </c>
      <c r="D154" s="169" t="s">
        <v>618</v>
      </c>
    </row>
    <row r="155" spans="1:4" ht="15.75" customHeight="1" thickBot="1" x14ac:dyDescent="0.4">
      <c r="A155" s="165" t="s">
        <v>35</v>
      </c>
      <c r="B155" s="166" t="s">
        <v>346</v>
      </c>
      <c r="C155" s="168" t="s">
        <v>619</v>
      </c>
      <c r="D155" s="168" t="s">
        <v>620</v>
      </c>
    </row>
    <row r="156" spans="1:4" ht="12.75" customHeight="1" thickBot="1" x14ac:dyDescent="0.4">
      <c r="A156" s="165" t="s">
        <v>35</v>
      </c>
      <c r="B156" s="166" t="s">
        <v>346</v>
      </c>
      <c r="C156" s="169" t="s">
        <v>621</v>
      </c>
      <c r="D156" s="169" t="s">
        <v>622</v>
      </c>
    </row>
    <row r="157" spans="1:4" ht="12.75" customHeight="1" thickBot="1" x14ac:dyDescent="0.4">
      <c r="A157" s="165" t="s">
        <v>35</v>
      </c>
      <c r="B157" s="166" t="s">
        <v>322</v>
      </c>
      <c r="C157" s="169" t="s">
        <v>623</v>
      </c>
      <c r="D157" s="169" t="s">
        <v>624</v>
      </c>
    </row>
    <row r="158" spans="1:4" ht="13.5" customHeight="1" thickBot="1" x14ac:dyDescent="0.4">
      <c r="A158" s="165" t="s">
        <v>35</v>
      </c>
      <c r="B158" s="166" t="s">
        <v>322</v>
      </c>
      <c r="C158" s="168" t="s">
        <v>625</v>
      </c>
      <c r="D158" s="168" t="s">
        <v>626</v>
      </c>
    </row>
    <row r="159" spans="1:4" ht="12.75" customHeight="1" thickBot="1" x14ac:dyDescent="0.4">
      <c r="A159" s="165" t="s">
        <v>35</v>
      </c>
      <c r="B159" s="166" t="s">
        <v>322</v>
      </c>
      <c r="C159" s="169" t="s">
        <v>627</v>
      </c>
      <c r="D159" s="169" t="s">
        <v>618</v>
      </c>
    </row>
    <row r="160" spans="1:4" ht="12" customHeight="1" thickBot="1" x14ac:dyDescent="0.4">
      <c r="A160" s="165" t="s">
        <v>35</v>
      </c>
      <c r="B160" s="166" t="s">
        <v>322</v>
      </c>
      <c r="C160" s="168" t="s">
        <v>628</v>
      </c>
      <c r="D160" s="168" t="s">
        <v>629</v>
      </c>
    </row>
    <row r="161" spans="1:4" ht="11.25" customHeight="1" thickBot="1" x14ac:dyDescent="0.4">
      <c r="A161" s="165" t="s">
        <v>35</v>
      </c>
      <c r="B161" s="166" t="s">
        <v>322</v>
      </c>
      <c r="C161" s="169" t="s">
        <v>581</v>
      </c>
      <c r="D161" s="169" t="s">
        <v>630</v>
      </c>
    </row>
    <row r="162" spans="1:4" ht="13.5" customHeight="1" thickBot="1" x14ac:dyDescent="0.4">
      <c r="A162" s="165" t="s">
        <v>35</v>
      </c>
      <c r="B162" s="166" t="s">
        <v>385</v>
      </c>
      <c r="C162" s="169" t="s">
        <v>631</v>
      </c>
      <c r="D162" s="169" t="s">
        <v>632</v>
      </c>
    </row>
    <row r="163" spans="1:4" ht="14.25" customHeight="1" thickBot="1" x14ac:dyDescent="0.4">
      <c r="A163" s="165" t="s">
        <v>35</v>
      </c>
      <c r="B163" s="166" t="s">
        <v>385</v>
      </c>
      <c r="C163" s="168" t="s">
        <v>633</v>
      </c>
      <c r="D163" s="168" t="s">
        <v>620</v>
      </c>
    </row>
    <row r="164" spans="1:4" ht="14.25" customHeight="1" thickBot="1" x14ac:dyDescent="0.4">
      <c r="A164" s="165" t="s">
        <v>35</v>
      </c>
      <c r="B164" s="166" t="s">
        <v>385</v>
      </c>
      <c r="C164" s="169" t="s">
        <v>634</v>
      </c>
      <c r="D164" s="169" t="s">
        <v>635</v>
      </c>
    </row>
    <row r="165" spans="1:4" ht="13.5" customHeight="1" thickBot="1" x14ac:dyDescent="0.4">
      <c r="A165" s="165" t="s">
        <v>35</v>
      </c>
      <c r="B165" s="166" t="s">
        <v>385</v>
      </c>
      <c r="C165" s="168" t="s">
        <v>636</v>
      </c>
      <c r="D165" s="168" t="s">
        <v>637</v>
      </c>
    </row>
    <row r="166" spans="1:4" ht="12" customHeight="1" thickBot="1" x14ac:dyDescent="0.4">
      <c r="A166" s="165" t="s">
        <v>35</v>
      </c>
      <c r="B166" s="166" t="s">
        <v>385</v>
      </c>
      <c r="C166" s="169" t="s">
        <v>638</v>
      </c>
      <c r="D166" s="169" t="s">
        <v>585</v>
      </c>
    </row>
  </sheetData>
  <sheetProtection algorithmName="SHA-512" hashValue="R/QdMdHvRSSn5+/TVwcJ9QTZRa2Ryll0+r+5AHNasvMW5ICJCmIrnD4/5IRHOoyQb7HiCiaxlIgO2ZBJfr+B9Q==" saltValue="mLjVODUzsyIGd117r7IFqg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46C0A"/>
  </sheetPr>
  <dimension ref="A1:H13"/>
  <sheetViews>
    <sheetView zoomScaleNormal="100" workbookViewId="0">
      <selection sqref="A1:D8"/>
    </sheetView>
  </sheetViews>
  <sheetFormatPr defaultColWidth="8.7265625" defaultRowHeight="14.5" x14ac:dyDescent="0.35"/>
  <cols>
    <col min="1" max="1" width="14.1796875" style="1" customWidth="1"/>
    <col min="2" max="2" width="17.54296875" style="1" customWidth="1"/>
    <col min="3" max="3" width="15" style="1" customWidth="1"/>
    <col min="4" max="4" width="16.453125" style="1" customWidth="1"/>
  </cols>
  <sheetData>
    <row r="1" spans="1:8" ht="24" customHeight="1" x14ac:dyDescent="0.35">
      <c r="A1" s="41" t="s">
        <v>639</v>
      </c>
      <c r="B1" s="42" t="s">
        <v>640</v>
      </c>
      <c r="C1" s="42" t="s">
        <v>641</v>
      </c>
      <c r="D1" s="42" t="s">
        <v>642</v>
      </c>
      <c r="E1" s="43"/>
      <c r="F1" s="43"/>
      <c r="G1" s="37"/>
      <c r="H1" s="37"/>
    </row>
    <row r="2" spans="1:8" ht="36" customHeight="1" x14ac:dyDescent="0.35">
      <c r="A2" s="44" t="s">
        <v>29</v>
      </c>
      <c r="B2" s="44" t="s">
        <v>643</v>
      </c>
      <c r="C2" s="44" t="s">
        <v>644</v>
      </c>
      <c r="D2" s="44" t="s">
        <v>645</v>
      </c>
      <c r="E2" s="43"/>
    </row>
    <row r="3" spans="1:8" ht="36" customHeight="1" x14ac:dyDescent="0.35">
      <c r="A3" s="44" t="s">
        <v>106</v>
      </c>
      <c r="B3" s="44" t="s">
        <v>646</v>
      </c>
      <c r="C3" s="44" t="s">
        <v>647</v>
      </c>
      <c r="D3" s="44" t="s">
        <v>648</v>
      </c>
      <c r="E3" s="43"/>
      <c r="F3" s="43"/>
    </row>
    <row r="4" spans="1:8" ht="36" customHeight="1" x14ac:dyDescent="0.35">
      <c r="A4" s="44" t="s">
        <v>31</v>
      </c>
      <c r="B4" s="44" t="s">
        <v>649</v>
      </c>
      <c r="C4" s="44" t="s">
        <v>650</v>
      </c>
      <c r="D4" s="44" t="s">
        <v>651</v>
      </c>
      <c r="E4" s="43"/>
      <c r="F4" s="43"/>
    </row>
    <row r="5" spans="1:8" ht="36" customHeight="1" x14ac:dyDescent="0.35">
      <c r="A5" s="44" t="s">
        <v>32</v>
      </c>
      <c r="B5" s="44" t="s">
        <v>652</v>
      </c>
      <c r="C5" s="44" t="s">
        <v>653</v>
      </c>
      <c r="D5" s="44" t="s">
        <v>654</v>
      </c>
      <c r="E5" s="43"/>
      <c r="F5" s="43"/>
    </row>
    <row r="6" spans="1:8" ht="24" customHeight="1" x14ac:dyDescent="0.35">
      <c r="A6" s="44" t="s">
        <v>33</v>
      </c>
      <c r="B6" s="44" t="s">
        <v>655</v>
      </c>
      <c r="C6" s="44" t="s">
        <v>656</v>
      </c>
      <c r="D6" s="44" t="s">
        <v>657</v>
      </c>
      <c r="E6" s="43"/>
      <c r="F6" s="43"/>
    </row>
    <row r="7" spans="1:8" ht="36" customHeight="1" x14ac:dyDescent="0.35">
      <c r="A7" s="44" t="s">
        <v>34</v>
      </c>
      <c r="B7" s="44" t="s">
        <v>658</v>
      </c>
      <c r="C7" s="44" t="s">
        <v>659</v>
      </c>
      <c r="D7" s="44" t="s">
        <v>660</v>
      </c>
      <c r="E7" s="43"/>
      <c r="F7" s="43"/>
    </row>
    <row r="8" spans="1:8" ht="36" customHeight="1" x14ac:dyDescent="0.35">
      <c r="A8" s="44" t="s">
        <v>35</v>
      </c>
      <c r="B8" s="44" t="s">
        <v>661</v>
      </c>
      <c r="C8" s="44" t="s">
        <v>662</v>
      </c>
      <c r="D8" s="44" t="s">
        <v>663</v>
      </c>
      <c r="E8" s="43"/>
      <c r="F8" s="43"/>
    </row>
    <row r="9" spans="1:8" ht="15" customHeight="1" x14ac:dyDescent="0.35">
      <c r="A9" s="43"/>
      <c r="B9" s="43"/>
      <c r="C9" s="43"/>
      <c r="D9" s="43"/>
      <c r="E9" s="43"/>
    </row>
    <row r="10" spans="1:8" ht="15" customHeight="1" x14ac:dyDescent="0.35">
      <c r="A10" s="43"/>
      <c r="B10" s="43"/>
      <c r="C10" s="43"/>
      <c r="D10" s="43"/>
      <c r="E10" s="43"/>
    </row>
    <row r="11" spans="1:8" ht="15" customHeight="1" x14ac:dyDescent="0.35">
      <c r="A11" s="43"/>
      <c r="B11" s="43"/>
      <c r="C11" s="43"/>
      <c r="D11" s="43"/>
      <c r="E11" s="43"/>
    </row>
    <row r="12" spans="1:8" ht="15" customHeight="1" x14ac:dyDescent="0.35">
      <c r="A12" s="43"/>
      <c r="B12" s="43"/>
      <c r="C12" s="43"/>
      <c r="D12" s="43"/>
      <c r="E12" s="43"/>
    </row>
    <row r="13" spans="1:8" ht="15" customHeight="1" x14ac:dyDescent="0.35">
      <c r="A13" s="43"/>
      <c r="B13" s="43"/>
      <c r="C13" s="43"/>
      <c r="D13" s="43"/>
      <c r="E13" s="43"/>
    </row>
  </sheetData>
  <sheetProtection algorithmName="SHA-512" hashValue="QJwWtZfYOFOeY4FiMhpFYNVGSHiBFxIPL5szrYZAcgs2sSdVRNcKGcUNqNtV7Qf0/MrawAez0uuN9UzuDNbdfQ==" saltValue="VV9OtC5VhgmJnyqGMraPEQ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"/>
  <sheetViews>
    <sheetView zoomScaleNormal="100" workbookViewId="0">
      <selection sqref="A1:C8"/>
    </sheetView>
  </sheetViews>
  <sheetFormatPr defaultColWidth="8.7265625" defaultRowHeight="14.5" x14ac:dyDescent="0.35"/>
  <cols>
    <col min="1" max="1" width="22" style="1" customWidth="1"/>
    <col min="2" max="2" width="29.81640625" style="1" customWidth="1"/>
    <col min="3" max="3" width="36" style="1" customWidth="1"/>
  </cols>
  <sheetData>
    <row r="1" spans="1:3" ht="15" customHeight="1" x14ac:dyDescent="0.35">
      <c r="A1" s="157" t="s">
        <v>59</v>
      </c>
      <c r="B1" s="157" t="s">
        <v>664</v>
      </c>
      <c r="C1" s="157" t="s">
        <v>252</v>
      </c>
    </row>
    <row r="2" spans="1:3" ht="15" customHeight="1" x14ac:dyDescent="0.35">
      <c r="A2" s="87" t="s">
        <v>29</v>
      </c>
      <c r="B2" s="87" t="s">
        <v>665</v>
      </c>
      <c r="C2" s="87" t="s">
        <v>666</v>
      </c>
    </row>
    <row r="3" spans="1:3" ht="15" customHeight="1" x14ac:dyDescent="0.35">
      <c r="A3" s="87" t="s">
        <v>106</v>
      </c>
      <c r="B3" s="87" t="s">
        <v>667</v>
      </c>
      <c r="C3" s="87" t="s">
        <v>668</v>
      </c>
    </row>
    <row r="4" spans="1:3" ht="15" customHeight="1" x14ac:dyDescent="0.35">
      <c r="A4" s="87" t="s">
        <v>31</v>
      </c>
      <c r="B4" s="87" t="s">
        <v>669</v>
      </c>
      <c r="C4" s="87" t="s">
        <v>670</v>
      </c>
    </row>
    <row r="5" spans="1:3" ht="15" customHeight="1" x14ac:dyDescent="0.35">
      <c r="A5" s="87" t="s">
        <v>32</v>
      </c>
      <c r="B5" s="87" t="s">
        <v>671</v>
      </c>
      <c r="C5" s="87" t="s">
        <v>672</v>
      </c>
    </row>
    <row r="6" spans="1:3" ht="15" customHeight="1" x14ac:dyDescent="0.35">
      <c r="A6" s="87" t="s">
        <v>33</v>
      </c>
      <c r="B6" s="87" t="s">
        <v>673</v>
      </c>
      <c r="C6" s="87" t="s">
        <v>674</v>
      </c>
    </row>
    <row r="7" spans="1:3" ht="15" customHeight="1" x14ac:dyDescent="0.35">
      <c r="A7" s="87" t="s">
        <v>34</v>
      </c>
      <c r="B7" s="87" t="s">
        <v>675</v>
      </c>
      <c r="C7" s="87" t="s">
        <v>676</v>
      </c>
    </row>
    <row r="8" spans="1:3" ht="15" customHeight="1" x14ac:dyDescent="0.35">
      <c r="A8" s="87" t="s">
        <v>35</v>
      </c>
      <c r="B8" s="87" t="s">
        <v>667</v>
      </c>
      <c r="C8" s="87" t="s">
        <v>677</v>
      </c>
    </row>
  </sheetData>
  <sheetProtection algorithmName="SHA-512" hashValue="oELnkhpLsSqwNnM9e5eAznp7yNaBPPyXq16WJMb69X/W/SEWz9imernRY8NJjhOMWwUpGqO8LV2Pi8JxUgRjoQ==" saltValue="bek7D8NRo5bW7ARl+oo1jw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zoomScaleNormal="100" workbookViewId="0">
      <selection sqref="A1:D9"/>
    </sheetView>
  </sheetViews>
  <sheetFormatPr defaultColWidth="8.7265625" defaultRowHeight="14.5" x14ac:dyDescent="0.35"/>
  <cols>
    <col min="1" max="1" width="26" style="1" customWidth="1"/>
    <col min="2" max="2" width="30" style="1" customWidth="1"/>
    <col min="3" max="3" width="14" style="1" customWidth="1"/>
    <col min="4" max="4" width="42" style="1" customWidth="1"/>
  </cols>
  <sheetData>
    <row r="1" spans="1:4" ht="27.75" customHeight="1" x14ac:dyDescent="0.35">
      <c r="A1" s="157" t="s">
        <v>678</v>
      </c>
      <c r="B1" s="158" t="s">
        <v>679</v>
      </c>
      <c r="C1" s="157" t="s">
        <v>680</v>
      </c>
      <c r="D1" s="157" t="s">
        <v>38</v>
      </c>
    </row>
    <row r="2" spans="1:4" ht="15" customHeight="1" x14ac:dyDescent="0.35">
      <c r="A2" s="87" t="s">
        <v>681</v>
      </c>
      <c r="B2" s="87" t="s">
        <v>682</v>
      </c>
      <c r="C2" s="115">
        <f>AVERAGE(профиль!F2,профиль!F3)</f>
        <v>0</v>
      </c>
      <c r="D2" s="87" t="str">
        <f t="shared" ref="D2:D7" si="0">IF(C2&gt;=0.75,"Функция салыстырмалы жақсы дамыған",IF(C2&gt;=0.5,"Функция дамуды талап етеді","Функция әлсіз буын болып табылады"))</f>
        <v>Функция әлсіз буын болып табылады</v>
      </c>
    </row>
    <row r="3" spans="1:4" ht="15" customHeight="1" x14ac:dyDescent="0.35">
      <c r="A3" s="87" t="s">
        <v>683</v>
      </c>
      <c r="B3" s="87" t="s">
        <v>684</v>
      </c>
      <c r="C3" s="115">
        <f>AVERAGE(профиль!F2,профиль!F6)</f>
        <v>0</v>
      </c>
      <c r="D3" s="87" t="str">
        <f t="shared" si="0"/>
        <v>Функция әлсіз буын болып табылады</v>
      </c>
    </row>
    <row r="4" spans="1:4" ht="15" customHeight="1" x14ac:dyDescent="0.35">
      <c r="A4" s="87" t="s">
        <v>685</v>
      </c>
      <c r="B4" s="87" t="s">
        <v>32</v>
      </c>
      <c r="C4" s="163">
        <f>профиль!F5</f>
        <v>0</v>
      </c>
      <c r="D4" s="87" t="str">
        <f t="shared" si="0"/>
        <v>Функция әлсіз буын болып табылады</v>
      </c>
    </row>
    <row r="5" spans="1:4" ht="15" customHeight="1" x14ac:dyDescent="0.35">
      <c r="A5" s="87" t="s">
        <v>686</v>
      </c>
      <c r="B5" s="87" t="s">
        <v>687</v>
      </c>
      <c r="C5" s="115">
        <f>AVERAGE(профиль!F4,профиль!F7)</f>
        <v>0</v>
      </c>
      <c r="D5" s="87" t="str">
        <f t="shared" si="0"/>
        <v>Функция әлсіз буын болып табылады</v>
      </c>
    </row>
    <row r="6" spans="1:4" ht="15" customHeight="1" x14ac:dyDescent="0.35">
      <c r="A6" s="87" t="s">
        <v>688</v>
      </c>
      <c r="B6" s="87" t="s">
        <v>33</v>
      </c>
      <c r="C6" s="163">
        <f>профиль!F6</f>
        <v>0</v>
      </c>
      <c r="D6" s="87" t="str">
        <f t="shared" si="0"/>
        <v>Функция әлсіз буын болып табылады</v>
      </c>
    </row>
    <row r="7" spans="1:4" ht="15" customHeight="1" x14ac:dyDescent="0.35">
      <c r="A7" s="87" t="s">
        <v>689</v>
      </c>
      <c r="B7" s="87" t="s">
        <v>35</v>
      </c>
      <c r="C7" s="163">
        <f>профиль!F8</f>
        <v>0</v>
      </c>
      <c r="D7" s="87" t="str">
        <f t="shared" si="0"/>
        <v>Функция әлсіз буын болып табылады</v>
      </c>
    </row>
    <row r="8" spans="1:4" x14ac:dyDescent="0.35">
      <c r="A8" s="87"/>
      <c r="B8" s="87"/>
      <c r="C8" s="87"/>
      <c r="D8" s="87"/>
    </row>
    <row r="9" spans="1:4" ht="15" customHeight="1" x14ac:dyDescent="0.35">
      <c r="A9" s="164" t="s">
        <v>690</v>
      </c>
      <c r="B9" s="87"/>
      <c r="C9" s="87" t="str">
        <f>INDEX(A2:A7,MATCH(MIN(C2:C7),C2:C7,0))</f>
        <v>Моторлық бақылау</v>
      </c>
      <c r="D9" s="87" t="str">
        <f>CONCATENATE("Ең осал функция: ",C9)</f>
        <v>Ең осал функция: Моторлық бақылау</v>
      </c>
    </row>
  </sheetData>
  <sheetProtection algorithmName="SHA-512" hashValue="P0vPWYWoEj/H8ZTOxWjd+w68HLerbTbYmtiv2o3FiAZojolKAl4xXKvAQXK8yx/xGtTYYSLXlQt75ywy6o1ZqQ==" saltValue="MjlNmT8kyCRdThSHNeIuQg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9"/>
  <sheetViews>
    <sheetView zoomScaleNormal="100" workbookViewId="0">
      <selection sqref="A1:E9"/>
    </sheetView>
  </sheetViews>
  <sheetFormatPr defaultColWidth="8.7265625" defaultRowHeight="14.5" x14ac:dyDescent="0.35"/>
  <cols>
    <col min="1" max="1" width="19.81640625" style="1" customWidth="1"/>
    <col min="2" max="2" width="23" style="1" customWidth="1"/>
    <col min="3" max="3" width="9.26953125" style="1" customWidth="1"/>
    <col min="4" max="4" width="38" style="1" customWidth="1"/>
    <col min="5" max="5" width="36" style="1" customWidth="1"/>
  </cols>
  <sheetData>
    <row r="1" spans="1:5" ht="27.75" customHeight="1" x14ac:dyDescent="0.35">
      <c r="A1" s="158" t="s">
        <v>691</v>
      </c>
      <c r="B1" s="158" t="s">
        <v>679</v>
      </c>
      <c r="C1" s="157" t="s">
        <v>680</v>
      </c>
      <c r="D1" s="157" t="s">
        <v>38</v>
      </c>
      <c r="E1" s="158" t="s">
        <v>692</v>
      </c>
    </row>
    <row r="2" spans="1:5" ht="15" customHeight="1" x14ac:dyDescent="0.35">
      <c r="A2" s="159" t="s">
        <v>693</v>
      </c>
      <c r="B2" s="159" t="s">
        <v>694</v>
      </c>
      <c r="C2" s="162">
        <f>AVERAGE(профиль!F5,профиль!F3)</f>
        <v>0</v>
      </c>
      <c r="D2" s="159" t="str">
        <f t="shared" ref="D2:D7" si="0">IF(C2&gt;=0.75," Жүйе салыстырмалы тұрақты жұмыс жасайды",IF(C2&gt;=0.5," Сенсорлық қолдау қажет"," Айқын сенсорлық қиындықтар ықтимал"))</f>
        <v xml:space="preserve"> Айқын сенсорлық қиындықтар ықтимал</v>
      </c>
      <c r="E2" s="159" t="s">
        <v>695</v>
      </c>
    </row>
    <row r="3" spans="1:5" ht="15" customHeight="1" x14ac:dyDescent="0.35">
      <c r="A3" s="159" t="s">
        <v>696</v>
      </c>
      <c r="B3" s="159" t="s">
        <v>31</v>
      </c>
      <c r="C3" s="160">
        <f>профиль!F4</f>
        <v>0</v>
      </c>
      <c r="D3" s="159" t="str">
        <f t="shared" si="0"/>
        <v xml:space="preserve"> Айқын сенсорлық қиындықтар ықтимал</v>
      </c>
      <c r="E3" s="159" t="s">
        <v>697</v>
      </c>
    </row>
    <row r="4" spans="1:5" ht="15" customHeight="1" x14ac:dyDescent="0.35">
      <c r="A4" s="159" t="s">
        <v>698</v>
      </c>
      <c r="B4" s="159" t="s">
        <v>699</v>
      </c>
      <c r="C4" s="162">
        <f>AVERAGE(профиль!F6,профиль!F3)</f>
        <v>0</v>
      </c>
      <c r="D4" s="159" t="str">
        <f t="shared" si="0"/>
        <v xml:space="preserve"> Айқын сенсорлық қиындықтар ықтимал</v>
      </c>
      <c r="E4" s="159" t="s">
        <v>700</v>
      </c>
    </row>
    <row r="5" spans="1:5" ht="15" customHeight="1" x14ac:dyDescent="0.35">
      <c r="A5" s="159" t="s">
        <v>701</v>
      </c>
      <c r="B5" s="159" t="s">
        <v>29</v>
      </c>
      <c r="C5" s="160">
        <f>профиль!F2</f>
        <v>0</v>
      </c>
      <c r="D5" s="159" t="str">
        <f t="shared" si="0"/>
        <v xml:space="preserve"> Айқын сенсорлық қиындықтар ықтимал</v>
      </c>
      <c r="E5" s="159" t="s">
        <v>702</v>
      </c>
    </row>
    <row r="6" spans="1:5" ht="15" customHeight="1" x14ac:dyDescent="0.35">
      <c r="A6" s="159" t="s">
        <v>703</v>
      </c>
      <c r="B6" s="159" t="s">
        <v>29</v>
      </c>
      <c r="C6" s="160">
        <f>профиль!F2</f>
        <v>0</v>
      </c>
      <c r="D6" s="159" t="str">
        <f t="shared" si="0"/>
        <v xml:space="preserve"> Айқын сенсорлық қиындықтар ықтимал</v>
      </c>
      <c r="E6" s="159" t="s">
        <v>704</v>
      </c>
    </row>
    <row r="7" spans="1:5" ht="15" customHeight="1" x14ac:dyDescent="0.35">
      <c r="A7" s="159" t="s">
        <v>705</v>
      </c>
      <c r="B7" s="159" t="s">
        <v>35</v>
      </c>
      <c r="C7" s="160">
        <f>профиль!F8</f>
        <v>0</v>
      </c>
      <c r="D7" s="159" t="str">
        <f t="shared" si="0"/>
        <v xml:space="preserve"> Айқын сенсорлық қиындықтар ықтимал</v>
      </c>
      <c r="E7" s="159" t="s">
        <v>706</v>
      </c>
    </row>
    <row r="8" spans="1:5" ht="15" customHeight="1" x14ac:dyDescent="0.35">
      <c r="A8" s="159"/>
      <c r="B8" s="159"/>
      <c r="C8" s="159"/>
      <c r="D8" s="159"/>
      <c r="E8" s="159"/>
    </row>
    <row r="9" spans="1:5" ht="15" customHeight="1" x14ac:dyDescent="0.35">
      <c r="A9" s="161" t="s">
        <v>707</v>
      </c>
      <c r="B9" s="159"/>
      <c r="C9" s="159" t="str">
        <f>INDEX(A2:A7,MATCH(MIN(C2:C7),C2:C7,0))</f>
        <v xml:space="preserve">Көру </v>
      </c>
      <c r="D9" s="159" t="str">
        <f>CONCATENATE("Ең осал сенсорлық жүйесі: ",C9)</f>
        <v xml:space="preserve">Ең осал сенсорлық жүйесі: Көру </v>
      </c>
      <c r="E9" s="159"/>
    </row>
  </sheetData>
  <sheetProtection algorithmName="SHA-512" hashValue="dTeCOHuNX3Wd51wSYpK3ZITK8Sind/Ev+rzuhn0JLCWCPT2TIFDQAdLGJNC81gQW3pC9ezBxdkIbWx25EXN8kw==" saltValue="k3uSfJUWPLax3/1avYSQEg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0"/>
  <sheetViews>
    <sheetView zoomScaleNormal="100" workbookViewId="0">
      <selection sqref="A1:D10"/>
    </sheetView>
  </sheetViews>
  <sheetFormatPr defaultColWidth="8.7265625" defaultRowHeight="14.5" x14ac:dyDescent="0.35"/>
  <cols>
    <col min="1" max="1" width="17" style="1" customWidth="1"/>
    <col min="2" max="2" width="15.81640625" style="1" customWidth="1"/>
    <col min="3" max="3" width="41" style="1" customWidth="1"/>
    <col min="4" max="4" width="30" style="1" customWidth="1"/>
  </cols>
  <sheetData>
    <row r="1" spans="1:8" ht="27.75" customHeight="1" x14ac:dyDescent="0.35">
      <c r="A1" s="156" t="s">
        <v>708</v>
      </c>
      <c r="B1" s="157" t="s">
        <v>709</v>
      </c>
      <c r="C1" s="158" t="s">
        <v>710</v>
      </c>
      <c r="D1" s="158" t="s">
        <v>711</v>
      </c>
    </row>
    <row r="2" spans="1:8" ht="15" customHeight="1" x14ac:dyDescent="0.35">
      <c r="A2" s="159" t="s">
        <v>712</v>
      </c>
      <c r="B2" s="160">
        <f>профиль!F2</f>
        <v>0</v>
      </c>
      <c r="C2" s="159" t="str">
        <f>IF(B2&lt;0.5,"Кешігудің ықтимал моторлық себебі","")</f>
        <v>Кешігудің ықтимал моторлық себебі</v>
      </c>
      <c r="D2" s="159" t="s">
        <v>713</v>
      </c>
      <c r="E2" s="6"/>
      <c r="F2" s="6"/>
      <c r="G2" s="6"/>
      <c r="H2" s="6"/>
    </row>
    <row r="3" spans="1:8" ht="15" customHeight="1" x14ac:dyDescent="0.35">
      <c r="A3" s="159" t="s">
        <v>714</v>
      </c>
      <c r="B3" s="18" t="str">
        <f>СЕНСОРИКА!C9</f>
        <v xml:space="preserve">Көру </v>
      </c>
      <c r="C3" s="159" t="str">
        <f>IF(B3&lt;0.5,"Кешігудің ықтимал сенсорлық себебі ","")</f>
        <v/>
      </c>
      <c r="D3" s="159" t="s">
        <v>683</v>
      </c>
      <c r="E3" s="6"/>
      <c r="F3" s="6"/>
      <c r="G3" s="6"/>
      <c r="H3" s="6"/>
    </row>
    <row r="4" spans="1:8" ht="15" customHeight="1" x14ac:dyDescent="0.35">
      <c r="A4" s="159" t="s">
        <v>715</v>
      </c>
      <c r="B4" s="160">
        <f>профиль!F4</f>
        <v>0</v>
      </c>
      <c r="C4" s="159" t="str">
        <f>IF(B4&lt;0.5,"Кешігудің ықтимал коммуникативтік себебі","")</f>
        <v>Кешігудің ықтимал коммуникативтік себебі</v>
      </c>
      <c r="D4" s="159" t="s">
        <v>669</v>
      </c>
      <c r="E4" s="6"/>
      <c r="F4" s="6"/>
      <c r="G4" s="6"/>
      <c r="H4" s="6"/>
    </row>
    <row r="5" spans="1:8" ht="15" customHeight="1" x14ac:dyDescent="0.35">
      <c r="A5" s="159" t="s">
        <v>32</v>
      </c>
      <c r="B5" s="160">
        <f>профиль!F5</f>
        <v>0</v>
      </c>
      <c r="C5" s="159" t="str">
        <f>IF(B5&lt;0.5,"Кешігудің ықтимал танымдық себебі ","")</f>
        <v xml:space="preserve">Кешігудің ықтимал танымдық себебі </v>
      </c>
      <c r="D5" s="159" t="s">
        <v>671</v>
      </c>
      <c r="E5" s="6"/>
      <c r="F5" s="6"/>
      <c r="G5" s="6"/>
      <c r="H5" s="6"/>
    </row>
    <row r="6" spans="1:8" ht="15" customHeight="1" x14ac:dyDescent="0.35">
      <c r="A6" s="159" t="s">
        <v>716</v>
      </c>
      <c r="B6" s="160">
        <f>профиль!F6</f>
        <v>0</v>
      </c>
      <c r="C6" s="159" t="str">
        <f>IF(B6&lt;0.5,"Кешігудің ықтимал эмоциялық себебі ","")</f>
        <v xml:space="preserve">Кешігудің ықтимал эмоциялық себебі </v>
      </c>
      <c r="D6" s="159" t="s">
        <v>673</v>
      </c>
      <c r="E6" s="6"/>
      <c r="F6" s="6"/>
      <c r="G6" s="6"/>
      <c r="H6" s="6"/>
    </row>
    <row r="7" spans="1:8" ht="15" customHeight="1" x14ac:dyDescent="0.35">
      <c r="A7" s="159" t="s">
        <v>689</v>
      </c>
      <c r="B7" s="160">
        <f>профиль!F8</f>
        <v>0</v>
      </c>
      <c r="C7" s="159" t="str">
        <f>IF(B7&lt;0.5,"Кешігудің ықтимал бейімделу себебі ","")</f>
        <v xml:space="preserve">Кешігудің ықтимал бейімделу себебі </v>
      </c>
      <c r="D7" s="159" t="s">
        <v>717</v>
      </c>
      <c r="E7" s="6"/>
      <c r="F7" s="6"/>
      <c r="G7" s="6"/>
      <c r="H7" s="6"/>
    </row>
    <row r="8" spans="1:8" ht="15" customHeight="1" x14ac:dyDescent="0.35">
      <c r="A8" s="159"/>
      <c r="B8" s="159"/>
      <c r="C8" s="159"/>
      <c r="D8" s="159"/>
      <c r="E8" s="6"/>
      <c r="F8" s="6"/>
      <c r="G8" s="6"/>
      <c r="H8" s="6"/>
    </row>
    <row r="9" spans="1:8" ht="15" customHeight="1" x14ac:dyDescent="0.35">
      <c r="A9" s="161" t="s">
        <v>718</v>
      </c>
      <c r="B9" s="159"/>
      <c r="C9" s="159" t="str">
        <f>IFERROR(CONCATENATE(IF(C2&lt;&gt;"",C2&amp;"; ",""),IF(C3&lt;&gt;"",C3&amp;"; ",""),IF(C4&lt;&gt;"",C4&amp;"; ",""),IF(C5&lt;&gt;"",C5&amp;"; ",""),IF(C6&lt;&gt;"",C6&amp;"; ",""),IF(C7&lt;&gt;"",C7,"")),"")</f>
        <v xml:space="preserve">Кешігудің ықтимал моторлық себебі; Кешігудің ықтимал коммуникативтік себебі; Кешігудің ықтимал танымдық себебі ; Кешігудің ықтимал эмоциялық себебі ; Кешігудің ықтимал бейімделу себебі </v>
      </c>
      <c r="D9" s="159"/>
      <c r="E9" s="6"/>
      <c r="F9" s="6"/>
      <c r="G9" s="6"/>
      <c r="H9" s="6"/>
    </row>
    <row r="10" spans="1:8" ht="15" customHeight="1" x14ac:dyDescent="0.35">
      <c r="A10" s="161" t="s">
        <v>719</v>
      </c>
      <c r="B10" s="159"/>
      <c r="C10" s="159" t="str">
        <f>INDEX(A2:A7,MATCH(MIN(B2:B7),B2:B7,0))</f>
        <v>Моторлық</v>
      </c>
      <c r="D10" s="159"/>
      <c r="E10" s="6"/>
      <c r="F10" s="6"/>
      <c r="G10" s="6"/>
      <c r="H10" s="6"/>
    </row>
  </sheetData>
  <sheetProtection algorithmName="SHA-512" hashValue="xXJZpBqTBnqqt1Maf6YJTkPK8QShwF8ltObWSugjO0mFre0e5vROwgkBqnMOgwOtF7PChbI0b2K9swmoCumLOA==" saltValue="Urnwk7A+QONwVDHMay8KeQ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3D69B"/>
  </sheetPr>
  <dimension ref="A1:L29"/>
  <sheetViews>
    <sheetView topLeftCell="A6" zoomScaleNormal="100" workbookViewId="0">
      <selection activeCell="B3" sqref="B3"/>
    </sheetView>
  </sheetViews>
  <sheetFormatPr defaultColWidth="8.7265625" defaultRowHeight="14.5" x14ac:dyDescent="0.35"/>
  <cols>
    <col min="1" max="1" width="12.81640625" style="1" customWidth="1"/>
    <col min="2" max="4" width="11.54296875" style="1" customWidth="1"/>
    <col min="9" max="9" width="11.81640625" style="1" customWidth="1"/>
  </cols>
  <sheetData>
    <row r="1" spans="1:11" ht="15" customHeight="1" x14ac:dyDescent="0.35">
      <c r="A1" s="23" t="s">
        <v>16</v>
      </c>
    </row>
    <row r="2" spans="1:11" ht="15" customHeight="1" x14ac:dyDescent="0.35">
      <c r="A2" s="69" t="s">
        <v>17</v>
      </c>
      <c r="B2" s="56"/>
      <c r="C2" s="56"/>
      <c r="D2" s="56"/>
      <c r="E2" s="56"/>
      <c r="F2" s="56"/>
      <c r="G2" s="56"/>
      <c r="H2" s="56"/>
      <c r="I2" s="56"/>
    </row>
    <row r="3" spans="1:11" ht="15" customHeight="1" x14ac:dyDescent="0.35">
      <c r="A3" t="s">
        <v>18</v>
      </c>
    </row>
    <row r="4" spans="1:11" ht="15" customHeight="1" x14ac:dyDescent="0.35">
      <c r="A4" t="s">
        <v>19</v>
      </c>
    </row>
    <row r="5" spans="1:11" ht="15" customHeight="1" x14ac:dyDescent="0.35">
      <c r="A5" t="s">
        <v>20</v>
      </c>
    </row>
    <row r="6" spans="1:11" ht="15" customHeight="1" x14ac:dyDescent="0.35">
      <c r="A6" t="s">
        <v>21</v>
      </c>
    </row>
    <row r="7" spans="1:11" ht="15" customHeight="1" x14ac:dyDescent="0.35">
      <c r="A7" t="s">
        <v>22</v>
      </c>
    </row>
    <row r="8" spans="1:11" ht="15" customHeight="1" x14ac:dyDescent="0.35">
      <c r="A8" t="s">
        <v>23</v>
      </c>
    </row>
    <row r="9" spans="1:11" ht="15" customHeight="1" x14ac:dyDescent="0.35">
      <c r="A9" t="s">
        <v>24</v>
      </c>
    </row>
    <row r="10" spans="1:11" ht="15" customHeight="1" x14ac:dyDescent="0.35">
      <c r="A10" s="23" t="s">
        <v>25</v>
      </c>
      <c r="B10" s="23"/>
      <c r="C10" s="23"/>
      <c r="D10" s="23"/>
      <c r="E10" s="23"/>
      <c r="F10" s="23"/>
      <c r="G10" s="23"/>
      <c r="H10" s="23"/>
    </row>
    <row r="11" spans="1:11" ht="15" customHeight="1" x14ac:dyDescent="0.35">
      <c r="A11" s="69" t="s">
        <v>26</v>
      </c>
      <c r="B11" s="56"/>
      <c r="C11" s="56"/>
      <c r="D11" s="56"/>
      <c r="E11" s="56"/>
      <c r="F11" s="56"/>
      <c r="G11" s="56"/>
      <c r="H11" s="56"/>
      <c r="I11" s="56"/>
    </row>
    <row r="12" spans="1:11" ht="26.25" customHeight="1" x14ac:dyDescent="0.35">
      <c r="A12" s="26" t="s">
        <v>27</v>
      </c>
      <c r="B12" s="26" t="s">
        <v>28</v>
      </c>
      <c r="C12" s="26" t="s">
        <v>29</v>
      </c>
      <c r="D12" s="26" t="s">
        <v>30</v>
      </c>
      <c r="E12" s="26" t="s">
        <v>31</v>
      </c>
      <c r="F12" s="26" t="s">
        <v>32</v>
      </c>
      <c r="G12" s="26" t="s">
        <v>33</v>
      </c>
      <c r="H12" s="26" t="s">
        <v>34</v>
      </c>
      <c r="I12" s="8" t="s">
        <v>35</v>
      </c>
      <c r="K12" t="s">
        <v>36</v>
      </c>
    </row>
    <row r="13" spans="1:11" ht="15" customHeight="1" x14ac:dyDescent="0.35">
      <c r="A13" s="46">
        <f>ПАСПОРТ!B4</f>
        <v>0</v>
      </c>
      <c r="B13" s="27">
        <f>профиль!B10</f>
        <v>0</v>
      </c>
      <c r="C13" s="27">
        <f>профиль!F2</f>
        <v>0</v>
      </c>
      <c r="D13" s="27">
        <f>профиль!F3</f>
        <v>0</v>
      </c>
      <c r="E13" s="27">
        <f>профиль!F4</f>
        <v>0</v>
      </c>
      <c r="F13" s="27">
        <f>профиль!F5</f>
        <v>0</v>
      </c>
      <c r="G13" s="27">
        <f>профиль!F6</f>
        <v>0</v>
      </c>
      <c r="H13" s="27">
        <f>профиль!F7</f>
        <v>0</v>
      </c>
      <c r="I13" s="27">
        <f>профиль!F8</f>
        <v>0</v>
      </c>
      <c r="K13">
        <v>0.9</v>
      </c>
    </row>
    <row r="14" spans="1:11" ht="15" customHeight="1" x14ac:dyDescent="0.35">
      <c r="A14" s="46">
        <v>46125</v>
      </c>
      <c r="B14" s="27">
        <v>0.42</v>
      </c>
      <c r="C14" s="27">
        <v>0.45</v>
      </c>
      <c r="D14" s="27">
        <v>0.46</v>
      </c>
      <c r="E14" s="27">
        <v>0.44</v>
      </c>
      <c r="F14" s="27">
        <v>0.4</v>
      </c>
      <c r="G14" s="27">
        <v>0.55000000000000004</v>
      </c>
      <c r="H14" s="27">
        <v>0.42</v>
      </c>
      <c r="I14" s="27">
        <v>0.02</v>
      </c>
      <c r="K14">
        <v>0.9</v>
      </c>
    </row>
    <row r="15" spans="1:11" ht="25.5" customHeight="1" x14ac:dyDescent="0.35">
      <c r="A15" s="47">
        <v>46208</v>
      </c>
      <c r="B15" s="28">
        <v>0.44</v>
      </c>
      <c r="C15" s="27">
        <v>0.46</v>
      </c>
      <c r="D15" s="27">
        <v>0.48</v>
      </c>
      <c r="E15" s="27">
        <v>0.46</v>
      </c>
      <c r="F15" s="27">
        <v>0.42</v>
      </c>
      <c r="G15" s="27">
        <v>0.6</v>
      </c>
      <c r="H15" s="27">
        <v>0.45</v>
      </c>
      <c r="I15" s="27">
        <v>0.08</v>
      </c>
      <c r="K15">
        <v>0.9</v>
      </c>
    </row>
    <row r="16" spans="1:11" ht="25.5" customHeight="1" x14ac:dyDescent="0.35">
      <c r="A16" s="29" t="s">
        <v>37</v>
      </c>
      <c r="B16" s="30">
        <f>B15-B13</f>
        <v>0.44</v>
      </c>
      <c r="C16" s="22"/>
      <c r="D16" s="22"/>
      <c r="E16" s="22"/>
      <c r="F16" s="22"/>
      <c r="G16" s="22"/>
      <c r="H16" s="22"/>
      <c r="I16" s="22"/>
    </row>
    <row r="17" spans="1:12" ht="15" customHeight="1" x14ac:dyDescent="0.35">
      <c r="A17" s="48" t="s">
        <v>38</v>
      </c>
      <c r="B17" s="22" t="str">
        <f>IF(B16&gt;0,"Оң динамика байқалады",IF(B16=0,"Динамика анықталмады","Регресс болуы мүмкін — қайта бағалау ұсынылады"))</f>
        <v>Оң динамика байқалады</v>
      </c>
      <c r="C17" s="22"/>
      <c r="D17" s="22"/>
      <c r="E17" s="22"/>
      <c r="F17" s="22"/>
      <c r="G17" s="22"/>
      <c r="H17" s="22"/>
      <c r="I17" s="22"/>
      <c r="L17" s="23"/>
    </row>
    <row r="18" spans="1:12" ht="15" customHeight="1" x14ac:dyDescent="0.35">
      <c r="A18" s="31" t="s">
        <v>39</v>
      </c>
      <c r="B18" s="22"/>
      <c r="C18" s="22"/>
      <c r="D18" s="22"/>
      <c r="E18" s="22"/>
      <c r="F18" s="22"/>
      <c r="G18" s="22"/>
      <c r="H18" s="22"/>
      <c r="I18" s="22"/>
    </row>
    <row r="19" spans="1:12" ht="15" customHeight="1" x14ac:dyDescent="0.35">
      <c r="A19" s="31"/>
      <c r="B19" s="22"/>
      <c r="C19" s="22"/>
      <c r="D19" s="22"/>
      <c r="E19" s="22"/>
      <c r="F19" s="22"/>
      <c r="G19" s="22"/>
      <c r="H19" s="22"/>
      <c r="I19" s="22"/>
    </row>
    <row r="20" spans="1:12" ht="15" customHeight="1" x14ac:dyDescent="0.35">
      <c r="A20" s="31"/>
      <c r="B20" s="22"/>
      <c r="C20" s="22"/>
      <c r="D20" s="22"/>
      <c r="E20" s="22"/>
      <c r="F20" s="22"/>
      <c r="G20" s="22"/>
      <c r="H20" s="22"/>
      <c r="I20" s="22"/>
    </row>
    <row r="21" spans="1:12" ht="15" customHeight="1" x14ac:dyDescent="0.35">
      <c r="A21" s="31"/>
      <c r="B21" s="22"/>
      <c r="C21" s="22"/>
      <c r="D21" s="22"/>
      <c r="E21" s="22"/>
      <c r="F21" s="22"/>
      <c r="G21" s="22"/>
      <c r="H21" s="22"/>
      <c r="I21" s="22"/>
    </row>
    <row r="22" spans="1:12" ht="21.75" customHeight="1" x14ac:dyDescent="0.35">
      <c r="A22" s="70" t="s">
        <v>40</v>
      </c>
      <c r="B22" s="56"/>
      <c r="C22" s="56"/>
      <c r="D22" s="56"/>
      <c r="E22" s="26"/>
      <c r="F22" s="26"/>
      <c r="G22" s="22"/>
      <c r="H22" s="22"/>
      <c r="I22" s="22"/>
    </row>
    <row r="23" spans="1:12" ht="15" customHeight="1" x14ac:dyDescent="0.35">
      <c r="A23" s="68" t="s">
        <v>41</v>
      </c>
      <c r="B23" s="56"/>
      <c r="C23" s="56"/>
      <c r="D23" s="56"/>
      <c r="E23" s="22"/>
      <c r="F23" s="22"/>
      <c r="G23" s="22"/>
      <c r="H23" s="22"/>
      <c r="I23" s="22"/>
    </row>
    <row r="24" spans="1:12" ht="15" customHeight="1" x14ac:dyDescent="0.35">
      <c r="A24" s="68" t="s">
        <v>42</v>
      </c>
      <c r="B24" s="56"/>
      <c r="C24" s="56"/>
      <c r="D24" s="56"/>
      <c r="E24" s="22"/>
      <c r="F24" s="22"/>
      <c r="G24" s="22"/>
      <c r="H24" s="22"/>
      <c r="I24" s="22"/>
    </row>
    <row r="25" spans="1:12" ht="15" customHeight="1" x14ac:dyDescent="0.35">
      <c r="A25" s="68" t="s">
        <v>43</v>
      </c>
      <c r="B25" s="56"/>
      <c r="C25" s="56"/>
      <c r="D25" s="56"/>
      <c r="E25" s="22"/>
      <c r="F25" s="22"/>
      <c r="G25" s="22"/>
      <c r="H25" s="22"/>
      <c r="I25" s="22"/>
    </row>
    <row r="26" spans="1:12" ht="15" customHeight="1" x14ac:dyDescent="0.35">
      <c r="A26" s="68" t="s">
        <v>44</v>
      </c>
      <c r="B26" s="56"/>
      <c r="C26" s="56"/>
      <c r="D26" s="56"/>
      <c r="E26" s="22"/>
      <c r="F26" s="22"/>
      <c r="G26" s="22"/>
      <c r="H26" s="22"/>
      <c r="I26" s="22"/>
    </row>
    <row r="27" spans="1:12" ht="15" customHeight="1" x14ac:dyDescent="0.35">
      <c r="B27" s="22"/>
      <c r="C27" s="22"/>
      <c r="D27" s="22"/>
      <c r="E27" s="22"/>
      <c r="F27" s="22"/>
      <c r="G27" s="22"/>
      <c r="H27" s="22"/>
      <c r="I27" s="22"/>
    </row>
    <row r="28" spans="1:12" ht="15" customHeight="1" x14ac:dyDescent="0.35">
      <c r="B28" s="22"/>
      <c r="C28" s="22"/>
      <c r="D28" s="22"/>
      <c r="E28" s="22"/>
      <c r="F28" s="22"/>
      <c r="G28" s="22"/>
      <c r="H28" s="22"/>
      <c r="I28" s="22"/>
    </row>
    <row r="29" spans="1:12" ht="15" customHeight="1" x14ac:dyDescent="0.35">
      <c r="B29" s="22"/>
      <c r="C29" s="22"/>
      <c r="D29" s="22"/>
      <c r="E29" s="22"/>
      <c r="F29" s="22"/>
      <c r="G29" s="22"/>
      <c r="H29" s="22"/>
      <c r="I29" s="22"/>
    </row>
  </sheetData>
  <mergeCells count="7">
    <mergeCell ref="A23:D23"/>
    <mergeCell ref="A2:I2"/>
    <mergeCell ref="A11:I11"/>
    <mergeCell ref="A22:D22"/>
    <mergeCell ref="A26:D26"/>
    <mergeCell ref="A25:D25"/>
    <mergeCell ref="A24:D24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D7D1A"/>
  </sheetPr>
  <dimension ref="A2:D9"/>
  <sheetViews>
    <sheetView zoomScaleNormal="100" workbookViewId="0">
      <selection activeCell="B2" sqref="B2"/>
    </sheetView>
  </sheetViews>
  <sheetFormatPr defaultColWidth="8.7265625" defaultRowHeight="14.5" x14ac:dyDescent="0.35"/>
  <cols>
    <col min="1" max="1" width="20.453125" style="1" customWidth="1"/>
    <col min="2" max="2" width="18.7265625" style="1" customWidth="1"/>
  </cols>
  <sheetData>
    <row r="2" spans="1:4" ht="15" customHeight="1" x14ac:dyDescent="0.35">
      <c r="A2" s="6" t="s">
        <v>45</v>
      </c>
      <c r="B2" s="80"/>
      <c r="D2" s="7"/>
    </row>
    <row r="3" spans="1:4" ht="15" customHeight="1" x14ac:dyDescent="0.35">
      <c r="A3" s="6" t="s">
        <v>46</v>
      </c>
      <c r="B3" s="81"/>
    </row>
    <row r="4" spans="1:4" ht="15" customHeight="1" x14ac:dyDescent="0.35">
      <c r="A4" s="6" t="s">
        <v>47</v>
      </c>
      <c r="B4" s="82"/>
    </row>
    <row r="5" spans="1:4" ht="26.25" customHeight="1" x14ac:dyDescent="0.35">
      <c r="A5" s="8" t="s">
        <v>48</v>
      </c>
      <c r="B5" s="79">
        <f>(B4-B3)/30.437</f>
        <v>0</v>
      </c>
    </row>
    <row r="8" spans="1:4" ht="19.5" customHeight="1" x14ac:dyDescent="0.35">
      <c r="A8" s="9" t="s">
        <v>49</v>
      </c>
      <c r="B8" s="10" t="s">
        <v>50</v>
      </c>
    </row>
    <row r="9" spans="1:4" ht="15" customHeight="1" x14ac:dyDescent="0.35">
      <c r="A9" s="11" t="s">
        <v>51</v>
      </c>
    </row>
  </sheetData>
  <sheetProtection algorithmName="SHA-512" hashValue="6LpdsuZDS6IRYCfbYuskfo55vdfgtbBmWgox25ifsx21gUPoETskte8MTM63AstIKJc3CF+usXPOyz9xv9aDqQ==" saltValue="Hte8t0VfBunHmQyDJINvdA==" spinCount="100000" sheet="1" objects="1" scenarios="1" selectLockedCells="1"/>
  <dataValidations count="1">
    <dataValidation type="list" showInputMessage="1" showErrorMessage="1" errorTitle="Неверное значение" error="Выберите из списка: Нормативный или Терапевтический" promptTitle="Режим оценки" prompt="Нормативный — для типично развивающихся детей_x000a_Терапевтический — для детей с ОВЗ, ДЦП, РАС" sqref="B8" xr:uid="{00000000-0002-0000-0200-000000000000}">
      <formula1>"Нормативтік,Терапиялық"</formula1>
      <formula2>0</formula2>
    </dataValidation>
  </dataValidations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K68"/>
  <sheetViews>
    <sheetView topLeftCell="A24" zoomScaleNormal="100" workbookViewId="0">
      <selection activeCell="I24" sqref="I24"/>
    </sheetView>
  </sheetViews>
  <sheetFormatPr defaultColWidth="9.1796875" defaultRowHeight="14.5" x14ac:dyDescent="0.35"/>
  <cols>
    <col min="1" max="1" width="12.7265625" style="12" customWidth="1"/>
    <col min="2" max="2" width="35.7265625" style="12" customWidth="1"/>
    <col min="3" max="3" width="6.1796875" style="13" customWidth="1"/>
    <col min="4" max="4" width="5.7265625" style="12" customWidth="1"/>
    <col min="5" max="5" width="7.54296875" style="12" customWidth="1"/>
    <col min="6" max="6" width="8.7265625" style="12" customWidth="1"/>
    <col min="7" max="7" width="5.81640625" style="12" customWidth="1"/>
    <col min="8" max="8" width="17.26953125" style="12" customWidth="1"/>
    <col min="9" max="9" width="9.1796875" style="12" customWidth="1"/>
    <col min="10" max="16384" width="9.1796875" style="12"/>
  </cols>
  <sheetData>
    <row r="1" spans="1:11" ht="15" customHeight="1" x14ac:dyDescent="0.35">
      <c r="A1" s="75" t="s">
        <v>52</v>
      </c>
      <c r="B1" s="72"/>
      <c r="C1" s="73"/>
      <c r="D1" s="72"/>
      <c r="E1" s="72"/>
      <c r="F1" s="72"/>
    </row>
    <row r="2" spans="1:11" ht="15" customHeight="1" x14ac:dyDescent="0.35">
      <c r="A2" s="71" t="s">
        <v>53</v>
      </c>
      <c r="B2" s="72"/>
      <c r="C2" s="73"/>
      <c r="D2" s="72"/>
      <c r="E2" s="72"/>
      <c r="F2" s="72"/>
    </row>
    <row r="3" spans="1:11" ht="15" customHeight="1" x14ac:dyDescent="0.35">
      <c r="A3" s="76" t="s">
        <v>54</v>
      </c>
      <c r="B3" s="72"/>
      <c r="C3" s="73"/>
      <c r="D3" s="72"/>
      <c r="E3" s="72"/>
      <c r="F3" s="72"/>
    </row>
    <row r="4" spans="1:11" ht="15" customHeight="1" x14ac:dyDescent="0.35">
      <c r="A4" s="71" t="s">
        <v>55</v>
      </c>
      <c r="B4" s="72"/>
      <c r="C4" s="73"/>
      <c r="D4" s="72"/>
      <c r="E4" s="72"/>
      <c r="F4" s="72"/>
      <c r="G4" s="49"/>
      <c r="H4" s="49"/>
      <c r="J4" s="49"/>
      <c r="K4" s="49"/>
    </row>
    <row r="5" spans="1:11" ht="15" customHeight="1" x14ac:dyDescent="0.35">
      <c r="A5" s="71" t="s">
        <v>56</v>
      </c>
      <c r="B5" s="72"/>
      <c r="C5" s="73"/>
      <c r="D5" s="72"/>
      <c r="E5" s="72"/>
      <c r="F5" s="72"/>
      <c r="G5" s="49"/>
      <c r="H5" s="49"/>
      <c r="J5" s="49"/>
      <c r="K5" s="49"/>
    </row>
    <row r="6" spans="1:11" ht="15" customHeight="1" x14ac:dyDescent="0.35">
      <c r="A6" s="71" t="s">
        <v>57</v>
      </c>
      <c r="B6" s="72"/>
      <c r="C6" s="73"/>
      <c r="D6" s="72"/>
      <c r="E6" s="72"/>
      <c r="F6" s="72"/>
      <c r="G6" s="49"/>
      <c r="H6" s="49"/>
      <c r="J6" s="49"/>
      <c r="K6" s="49"/>
    </row>
    <row r="7" spans="1:11" ht="22.5" customHeight="1" x14ac:dyDescent="0.35">
      <c r="A7" s="68" t="s">
        <v>58</v>
      </c>
      <c r="B7" s="72"/>
      <c r="C7" s="73"/>
      <c r="D7" s="72"/>
      <c r="E7" s="72"/>
      <c r="F7" s="72"/>
      <c r="G7" s="49"/>
      <c r="H7" s="49"/>
      <c r="J7" s="49"/>
      <c r="K7" s="49"/>
    </row>
    <row r="8" spans="1:11" ht="30" customHeight="1" x14ac:dyDescent="0.35">
      <c r="A8" s="14" t="s">
        <v>59</v>
      </c>
      <c r="B8" s="14" t="s">
        <v>60</v>
      </c>
      <c r="C8" s="14" t="s">
        <v>61</v>
      </c>
      <c r="D8" s="14" t="s">
        <v>62</v>
      </c>
      <c r="E8" s="14" t="s">
        <v>63</v>
      </c>
      <c r="F8" s="14" t="s">
        <v>64</v>
      </c>
      <c r="G8" s="14" t="s">
        <v>65</v>
      </c>
      <c r="H8" s="45" t="s">
        <v>66</v>
      </c>
      <c r="J8" s="49"/>
      <c r="K8" s="49"/>
    </row>
    <row r="9" spans="1:11" ht="14.25" customHeight="1" x14ac:dyDescent="0.35">
      <c r="A9" s="74" t="s">
        <v>67</v>
      </c>
      <c r="B9" s="72"/>
      <c r="C9" s="73"/>
      <c r="D9" s="72"/>
      <c r="E9" s="72"/>
      <c r="F9" s="72"/>
      <c r="G9" s="49"/>
      <c r="H9" s="49"/>
      <c r="J9" s="49"/>
      <c r="K9" s="49"/>
    </row>
    <row r="10" spans="1:11" ht="15" customHeight="1" x14ac:dyDescent="0.35">
      <c r="A10" s="49" t="s">
        <v>29</v>
      </c>
      <c r="B10" s="49" t="s">
        <v>68</v>
      </c>
      <c r="C10" s="15" t="s">
        <v>69</v>
      </c>
      <c r="D10" s="83"/>
      <c r="E10" s="84">
        <f t="shared" ref="E10:E22" si="0">D10/2*100</f>
        <v>0</v>
      </c>
      <c r="F10" s="84">
        <f t="shared" ref="F10:F22" si="1">IF(E10&gt;=80,1,0)</f>
        <v>0</v>
      </c>
      <c r="G10" s="84">
        <f t="shared" ref="G10:G22" si="2">AVERAGE(VALUE(LEFT(C10,FIND("-",C10)-1)),VALUE(RIGHT(C10,LEN(C10)-FIND("-",C10))))</f>
        <v>2.5</v>
      </c>
      <c r="H10" s="49" t="s">
        <v>70</v>
      </c>
      <c r="J10" s="49"/>
      <c r="K10" s="49"/>
    </row>
    <row r="11" spans="1:11" ht="15" customHeight="1" x14ac:dyDescent="0.35">
      <c r="A11" s="49" t="s">
        <v>29</v>
      </c>
      <c r="B11" s="49" t="s">
        <v>71</v>
      </c>
      <c r="C11" s="15" t="s">
        <v>69</v>
      </c>
      <c r="D11" s="83"/>
      <c r="E11" s="84">
        <f t="shared" si="0"/>
        <v>0</v>
      </c>
      <c r="F11" s="84">
        <f t="shared" si="1"/>
        <v>0</v>
      </c>
      <c r="G11" s="84">
        <f t="shared" si="2"/>
        <v>2.5</v>
      </c>
      <c r="H11" s="49" t="s">
        <v>72</v>
      </c>
      <c r="J11" s="49"/>
      <c r="K11" s="49"/>
    </row>
    <row r="12" spans="1:11" ht="15" customHeight="1" x14ac:dyDescent="0.35">
      <c r="A12" s="49" t="s">
        <v>29</v>
      </c>
      <c r="B12" s="49" t="s">
        <v>73</v>
      </c>
      <c r="C12" s="15" t="s">
        <v>74</v>
      </c>
      <c r="D12" s="83"/>
      <c r="E12" s="84">
        <f t="shared" si="0"/>
        <v>0</v>
      </c>
      <c r="F12" s="84">
        <f t="shared" si="1"/>
        <v>0</v>
      </c>
      <c r="G12" s="84">
        <f t="shared" si="2"/>
        <v>3.5</v>
      </c>
      <c r="H12" s="49" t="s">
        <v>75</v>
      </c>
      <c r="J12" s="49"/>
      <c r="K12" s="49"/>
    </row>
    <row r="13" spans="1:11" ht="15" customHeight="1" x14ac:dyDescent="0.35">
      <c r="A13" s="49" t="s">
        <v>29</v>
      </c>
      <c r="B13" s="49" t="s">
        <v>76</v>
      </c>
      <c r="C13" s="15" t="s">
        <v>77</v>
      </c>
      <c r="D13" s="83"/>
      <c r="E13" s="84">
        <f t="shared" si="0"/>
        <v>0</v>
      </c>
      <c r="F13" s="84">
        <f t="shared" si="1"/>
        <v>0</v>
      </c>
      <c r="G13" s="84">
        <f t="shared" si="2"/>
        <v>4.5</v>
      </c>
      <c r="H13" s="49" t="s">
        <v>78</v>
      </c>
      <c r="J13" s="49"/>
      <c r="K13" s="49"/>
    </row>
    <row r="14" spans="1:11" ht="15" customHeight="1" x14ac:dyDescent="0.35">
      <c r="A14" s="49" t="s">
        <v>29</v>
      </c>
      <c r="B14" s="49" t="s">
        <v>79</v>
      </c>
      <c r="C14" s="15" t="s">
        <v>74</v>
      </c>
      <c r="D14" s="83"/>
      <c r="E14" s="84">
        <f t="shared" si="0"/>
        <v>0</v>
      </c>
      <c r="F14" s="84">
        <f t="shared" si="1"/>
        <v>0</v>
      </c>
      <c r="G14" s="84">
        <f t="shared" si="2"/>
        <v>3.5</v>
      </c>
      <c r="H14" s="49" t="s">
        <v>80</v>
      </c>
      <c r="J14" s="49"/>
      <c r="K14" s="49"/>
    </row>
    <row r="15" spans="1:11" ht="15" customHeight="1" x14ac:dyDescent="0.35">
      <c r="A15" s="49" t="s">
        <v>29</v>
      </c>
      <c r="B15" s="49" t="s">
        <v>81</v>
      </c>
      <c r="C15" s="15" t="s">
        <v>82</v>
      </c>
      <c r="D15" s="83"/>
      <c r="E15" s="84">
        <f t="shared" si="0"/>
        <v>0</v>
      </c>
      <c r="F15" s="84">
        <f t="shared" si="1"/>
        <v>0</v>
      </c>
      <c r="G15" s="84">
        <f t="shared" si="2"/>
        <v>5.5</v>
      </c>
      <c r="H15" s="49" t="s">
        <v>83</v>
      </c>
      <c r="J15" s="49"/>
      <c r="K15" s="49"/>
    </row>
    <row r="16" spans="1:11" ht="15" customHeight="1" x14ac:dyDescent="0.35">
      <c r="A16" s="49" t="s">
        <v>29</v>
      </c>
      <c r="B16" s="15" t="s">
        <v>84</v>
      </c>
      <c r="C16" s="15" t="s">
        <v>85</v>
      </c>
      <c r="D16" s="83"/>
      <c r="E16" s="84">
        <f t="shared" si="0"/>
        <v>0</v>
      </c>
      <c r="F16" s="84">
        <f t="shared" si="1"/>
        <v>0</v>
      </c>
      <c r="G16" s="84">
        <f t="shared" si="2"/>
        <v>6.5</v>
      </c>
      <c r="H16" s="49" t="s">
        <v>86</v>
      </c>
      <c r="J16" s="49"/>
      <c r="K16" s="49"/>
    </row>
    <row r="17" spans="1:8" ht="15" customHeight="1" x14ac:dyDescent="0.35">
      <c r="A17" s="49" t="s">
        <v>29</v>
      </c>
      <c r="B17" s="49" t="s">
        <v>87</v>
      </c>
      <c r="C17" s="15" t="s">
        <v>88</v>
      </c>
      <c r="D17" s="83"/>
      <c r="E17" s="84">
        <f t="shared" si="0"/>
        <v>0</v>
      </c>
      <c r="F17" s="84">
        <f t="shared" si="1"/>
        <v>0</v>
      </c>
      <c r="G17" s="84">
        <f t="shared" si="2"/>
        <v>8</v>
      </c>
      <c r="H17" s="16" t="s">
        <v>89</v>
      </c>
    </row>
    <row r="18" spans="1:8" ht="15" customHeight="1" x14ac:dyDescent="0.35">
      <c r="A18" s="49" t="s">
        <v>29</v>
      </c>
      <c r="B18" s="49" t="s">
        <v>90</v>
      </c>
      <c r="C18" s="15" t="s">
        <v>91</v>
      </c>
      <c r="D18" s="83"/>
      <c r="E18" s="84">
        <f t="shared" si="0"/>
        <v>0</v>
      </c>
      <c r="F18" s="84">
        <f t="shared" si="1"/>
        <v>0</v>
      </c>
      <c r="G18" s="84">
        <f t="shared" si="2"/>
        <v>7</v>
      </c>
      <c r="H18" s="16" t="s">
        <v>92</v>
      </c>
    </row>
    <row r="19" spans="1:8" ht="15" customHeight="1" x14ac:dyDescent="0.35">
      <c r="A19" s="49" t="s">
        <v>29</v>
      </c>
      <c r="B19" s="49" t="s">
        <v>93</v>
      </c>
      <c r="C19" s="15" t="s">
        <v>94</v>
      </c>
      <c r="D19" s="83"/>
      <c r="E19" s="84">
        <f t="shared" si="0"/>
        <v>0</v>
      </c>
      <c r="F19" s="84">
        <f t="shared" si="1"/>
        <v>0</v>
      </c>
      <c r="G19" s="84">
        <f t="shared" si="2"/>
        <v>8.5</v>
      </c>
      <c r="H19" s="16" t="s">
        <v>95</v>
      </c>
    </row>
    <row r="20" spans="1:8" ht="15" customHeight="1" x14ac:dyDescent="0.35">
      <c r="A20" s="49" t="s">
        <v>29</v>
      </c>
      <c r="B20" s="49" t="s">
        <v>96</v>
      </c>
      <c r="C20" s="15" t="s">
        <v>97</v>
      </c>
      <c r="D20" s="83"/>
      <c r="E20" s="84">
        <f t="shared" si="0"/>
        <v>0</v>
      </c>
      <c r="F20" s="84">
        <f t="shared" si="1"/>
        <v>0</v>
      </c>
      <c r="G20" s="84">
        <f t="shared" si="2"/>
        <v>10</v>
      </c>
      <c r="H20" s="16" t="s">
        <v>98</v>
      </c>
    </row>
    <row r="21" spans="1:8" ht="15" customHeight="1" x14ac:dyDescent="0.35">
      <c r="A21" s="49" t="s">
        <v>29</v>
      </c>
      <c r="B21" s="49" t="s">
        <v>99</v>
      </c>
      <c r="C21" s="15" t="s">
        <v>100</v>
      </c>
      <c r="D21" s="83"/>
      <c r="E21" s="84">
        <f t="shared" si="0"/>
        <v>0</v>
      </c>
      <c r="F21" s="84">
        <f t="shared" si="1"/>
        <v>0</v>
      </c>
      <c r="G21" s="84">
        <f t="shared" si="2"/>
        <v>10.5</v>
      </c>
      <c r="H21" s="16" t="s">
        <v>101</v>
      </c>
    </row>
    <row r="22" spans="1:8" ht="15" customHeight="1" x14ac:dyDescent="0.35">
      <c r="A22" s="49" t="s">
        <v>29</v>
      </c>
      <c r="B22" s="49" t="s">
        <v>102</v>
      </c>
      <c r="C22" s="15" t="s">
        <v>103</v>
      </c>
      <c r="D22" s="83"/>
      <c r="E22" s="84">
        <f t="shared" si="0"/>
        <v>0</v>
      </c>
      <c r="F22" s="84">
        <f t="shared" si="1"/>
        <v>0</v>
      </c>
      <c r="G22" s="84">
        <f t="shared" si="2"/>
        <v>12</v>
      </c>
      <c r="H22" s="16" t="s">
        <v>104</v>
      </c>
    </row>
    <row r="23" spans="1:8" ht="15" customHeight="1" x14ac:dyDescent="0.35">
      <c r="A23" s="74" t="s">
        <v>105</v>
      </c>
      <c r="B23" s="72"/>
      <c r="C23" s="73"/>
      <c r="D23" s="72"/>
      <c r="E23" s="72"/>
      <c r="F23" s="72"/>
      <c r="G23" s="49"/>
    </row>
    <row r="24" spans="1:8" ht="15" customHeight="1" x14ac:dyDescent="0.35">
      <c r="A24" s="49" t="s">
        <v>106</v>
      </c>
      <c r="B24" s="49" t="s">
        <v>107</v>
      </c>
      <c r="C24" s="15" t="s">
        <v>69</v>
      </c>
      <c r="D24" s="83"/>
      <c r="E24" s="84">
        <f t="shared" ref="E24:E31" si="3">D24/2*100</f>
        <v>0</v>
      </c>
      <c r="F24" s="84">
        <f t="shared" ref="F24:F31" si="4">IF(E24&gt;=80,1,0)</f>
        <v>0</v>
      </c>
      <c r="G24" s="84">
        <f t="shared" ref="G24:G31" si="5">AVERAGE(VALUE(LEFT(C24,FIND("-",C24)-1)),VALUE(RIGHT(C24,LEN(C24)-FIND("-",C24))))</f>
        <v>2.5</v>
      </c>
      <c r="H24" s="16" t="s">
        <v>108</v>
      </c>
    </row>
    <row r="25" spans="1:8" ht="15" customHeight="1" x14ac:dyDescent="0.35">
      <c r="A25" s="49" t="s">
        <v>106</v>
      </c>
      <c r="B25" s="49" t="s">
        <v>109</v>
      </c>
      <c r="C25" s="15" t="s">
        <v>74</v>
      </c>
      <c r="D25" s="83"/>
      <c r="E25" s="84">
        <f t="shared" si="3"/>
        <v>0</v>
      </c>
      <c r="F25" s="84">
        <f t="shared" si="4"/>
        <v>0</v>
      </c>
      <c r="G25" s="84">
        <f t="shared" si="5"/>
        <v>3.5</v>
      </c>
      <c r="H25" s="17" t="s">
        <v>110</v>
      </c>
    </row>
    <row r="26" spans="1:8" ht="15" customHeight="1" x14ac:dyDescent="0.35">
      <c r="A26" s="49" t="s">
        <v>106</v>
      </c>
      <c r="B26" s="49" t="s">
        <v>111</v>
      </c>
      <c r="C26" s="15" t="s">
        <v>74</v>
      </c>
      <c r="D26" s="83"/>
      <c r="E26" s="84">
        <f t="shared" si="3"/>
        <v>0</v>
      </c>
      <c r="F26" s="84">
        <f t="shared" si="4"/>
        <v>0</v>
      </c>
      <c r="G26" s="84">
        <f t="shared" si="5"/>
        <v>3.5</v>
      </c>
      <c r="H26" s="17" t="s">
        <v>112</v>
      </c>
    </row>
    <row r="27" spans="1:8" ht="15" customHeight="1" x14ac:dyDescent="0.35">
      <c r="A27" s="49" t="s">
        <v>106</v>
      </c>
      <c r="B27" s="49" t="s">
        <v>113</v>
      </c>
      <c r="C27" s="15" t="s">
        <v>77</v>
      </c>
      <c r="D27" s="83"/>
      <c r="E27" s="84">
        <f t="shared" si="3"/>
        <v>0</v>
      </c>
      <c r="F27" s="84">
        <f t="shared" si="4"/>
        <v>0</v>
      </c>
      <c r="G27" s="84">
        <f t="shared" si="5"/>
        <v>4.5</v>
      </c>
      <c r="H27" s="17" t="s">
        <v>114</v>
      </c>
    </row>
    <row r="28" spans="1:8" ht="15" customHeight="1" x14ac:dyDescent="0.35">
      <c r="A28" s="49" t="s">
        <v>106</v>
      </c>
      <c r="B28" s="49" t="s">
        <v>115</v>
      </c>
      <c r="C28" s="15" t="s">
        <v>85</v>
      </c>
      <c r="D28" s="83"/>
      <c r="E28" s="84">
        <f t="shared" si="3"/>
        <v>0</v>
      </c>
      <c r="F28" s="84">
        <f t="shared" si="4"/>
        <v>0</v>
      </c>
      <c r="G28" s="84">
        <f t="shared" si="5"/>
        <v>6.5</v>
      </c>
      <c r="H28" s="17" t="s">
        <v>116</v>
      </c>
    </row>
    <row r="29" spans="1:8" ht="15" customHeight="1" x14ac:dyDescent="0.35">
      <c r="A29" s="49" t="s">
        <v>106</v>
      </c>
      <c r="B29" s="49" t="s">
        <v>117</v>
      </c>
      <c r="C29" s="15" t="s">
        <v>91</v>
      </c>
      <c r="D29" s="83"/>
      <c r="E29" s="84">
        <f t="shared" si="3"/>
        <v>0</v>
      </c>
      <c r="F29" s="84">
        <f t="shared" si="4"/>
        <v>0</v>
      </c>
      <c r="G29" s="84">
        <f t="shared" si="5"/>
        <v>7</v>
      </c>
      <c r="H29" s="17" t="s">
        <v>118</v>
      </c>
    </row>
    <row r="30" spans="1:8" ht="15" customHeight="1" x14ac:dyDescent="0.35">
      <c r="A30" s="49" t="s">
        <v>106</v>
      </c>
      <c r="B30" s="49" t="s">
        <v>119</v>
      </c>
      <c r="C30" s="15" t="s">
        <v>120</v>
      </c>
      <c r="D30" s="83"/>
      <c r="E30" s="84">
        <f t="shared" si="3"/>
        <v>0</v>
      </c>
      <c r="F30" s="84">
        <f t="shared" si="4"/>
        <v>0</v>
      </c>
      <c r="G30" s="84">
        <f t="shared" si="5"/>
        <v>9.5</v>
      </c>
      <c r="H30" s="17" t="s">
        <v>121</v>
      </c>
    </row>
    <row r="31" spans="1:8" ht="15" customHeight="1" x14ac:dyDescent="0.35">
      <c r="A31" s="49" t="s">
        <v>106</v>
      </c>
      <c r="B31" s="49" t="s">
        <v>122</v>
      </c>
      <c r="C31" s="15" t="s">
        <v>123</v>
      </c>
      <c r="D31" s="83"/>
      <c r="E31" s="84">
        <f t="shared" si="3"/>
        <v>0</v>
      </c>
      <c r="F31" s="84">
        <f t="shared" si="4"/>
        <v>0</v>
      </c>
      <c r="G31" s="84">
        <f t="shared" si="5"/>
        <v>11</v>
      </c>
      <c r="H31" s="17" t="s">
        <v>124</v>
      </c>
    </row>
    <row r="32" spans="1:8" ht="15" customHeight="1" x14ac:dyDescent="0.35">
      <c r="A32" s="74" t="s">
        <v>125</v>
      </c>
      <c r="B32" s="72"/>
      <c r="C32" s="73"/>
      <c r="D32" s="72"/>
      <c r="E32" s="72"/>
      <c r="F32" s="72"/>
      <c r="G32" s="49"/>
    </row>
    <row r="33" spans="1:8" ht="15" customHeight="1" x14ac:dyDescent="0.35">
      <c r="A33" s="49" t="s">
        <v>126</v>
      </c>
      <c r="B33" s="49" t="s">
        <v>127</v>
      </c>
      <c r="C33" s="15" t="s">
        <v>128</v>
      </c>
      <c r="D33" s="83"/>
      <c r="E33" s="84">
        <f t="shared" ref="E33:E39" si="6">D33/2*100</f>
        <v>0</v>
      </c>
      <c r="F33" s="84">
        <f t="shared" ref="F33:F39" si="7">IF(E33&gt;=80,1,0)</f>
        <v>0</v>
      </c>
      <c r="G33" s="84">
        <f t="shared" ref="G33:G39" si="8">AVERAGE(VALUE(LEFT(C33,FIND("-",C33)-1)),VALUE(RIGHT(C33,LEN(C33)-FIND("-",C33))))</f>
        <v>1.5</v>
      </c>
      <c r="H33" s="16" t="s">
        <v>129</v>
      </c>
    </row>
    <row r="34" spans="1:8" ht="15" customHeight="1" x14ac:dyDescent="0.35">
      <c r="A34" s="49" t="s">
        <v>126</v>
      </c>
      <c r="B34" s="49" t="s">
        <v>130</v>
      </c>
      <c r="C34" s="15" t="s">
        <v>69</v>
      </c>
      <c r="D34" s="83"/>
      <c r="E34" s="84">
        <f t="shared" si="6"/>
        <v>0</v>
      </c>
      <c r="F34" s="84">
        <f t="shared" si="7"/>
        <v>0</v>
      </c>
      <c r="G34" s="84">
        <f t="shared" si="8"/>
        <v>2.5</v>
      </c>
      <c r="H34" s="16" t="s">
        <v>131</v>
      </c>
    </row>
    <row r="35" spans="1:8" ht="15" customHeight="1" x14ac:dyDescent="0.35">
      <c r="A35" s="49" t="s">
        <v>126</v>
      </c>
      <c r="B35" s="49" t="s">
        <v>132</v>
      </c>
      <c r="C35" s="15" t="s">
        <v>128</v>
      </c>
      <c r="D35" s="83"/>
      <c r="E35" s="84">
        <f t="shared" si="6"/>
        <v>0</v>
      </c>
      <c r="F35" s="84">
        <f t="shared" si="7"/>
        <v>0</v>
      </c>
      <c r="G35" s="84">
        <f t="shared" si="8"/>
        <v>1.5</v>
      </c>
      <c r="H35" s="16" t="s">
        <v>133</v>
      </c>
    </row>
    <row r="36" spans="1:8" ht="15" customHeight="1" x14ac:dyDescent="0.35">
      <c r="A36" s="49" t="s">
        <v>126</v>
      </c>
      <c r="B36" s="49" t="s">
        <v>134</v>
      </c>
      <c r="C36" s="15" t="s">
        <v>74</v>
      </c>
      <c r="D36" s="83"/>
      <c r="E36" s="84">
        <f t="shared" si="6"/>
        <v>0</v>
      </c>
      <c r="F36" s="84">
        <f t="shared" si="7"/>
        <v>0</v>
      </c>
      <c r="G36" s="84">
        <f t="shared" si="8"/>
        <v>3.5</v>
      </c>
      <c r="H36" s="16" t="s">
        <v>135</v>
      </c>
    </row>
    <row r="37" spans="1:8" ht="15" customHeight="1" x14ac:dyDescent="0.35">
      <c r="A37" s="49" t="s">
        <v>126</v>
      </c>
      <c r="B37" s="49" t="s">
        <v>136</v>
      </c>
      <c r="C37" s="15" t="s">
        <v>74</v>
      </c>
      <c r="D37" s="83"/>
      <c r="E37" s="84">
        <f t="shared" si="6"/>
        <v>0</v>
      </c>
      <c r="F37" s="84">
        <f t="shared" si="7"/>
        <v>0</v>
      </c>
      <c r="G37" s="84">
        <f t="shared" si="8"/>
        <v>3.5</v>
      </c>
      <c r="H37" s="16" t="s">
        <v>137</v>
      </c>
    </row>
    <row r="38" spans="1:8" ht="15" customHeight="1" x14ac:dyDescent="0.35">
      <c r="A38" s="49" t="s">
        <v>126</v>
      </c>
      <c r="B38" s="49" t="s">
        <v>138</v>
      </c>
      <c r="C38" s="15" t="s">
        <v>139</v>
      </c>
      <c r="D38" s="83"/>
      <c r="E38" s="84">
        <f t="shared" si="6"/>
        <v>0</v>
      </c>
      <c r="F38" s="84">
        <f t="shared" si="7"/>
        <v>0</v>
      </c>
      <c r="G38" s="84">
        <f t="shared" si="8"/>
        <v>5</v>
      </c>
      <c r="H38" s="16" t="s">
        <v>140</v>
      </c>
    </row>
    <row r="39" spans="1:8" ht="15" customHeight="1" x14ac:dyDescent="0.35">
      <c r="A39" s="49" t="s">
        <v>126</v>
      </c>
      <c r="B39" s="49" t="s">
        <v>141</v>
      </c>
      <c r="C39" s="15" t="s">
        <v>142</v>
      </c>
      <c r="D39" s="83"/>
      <c r="E39" s="84">
        <f t="shared" si="6"/>
        <v>0</v>
      </c>
      <c r="F39" s="84">
        <f t="shared" si="7"/>
        <v>0</v>
      </c>
      <c r="G39" s="84">
        <f t="shared" si="8"/>
        <v>7.5</v>
      </c>
      <c r="H39" s="16" t="s">
        <v>143</v>
      </c>
    </row>
    <row r="40" spans="1:8" ht="15" customHeight="1" x14ac:dyDescent="0.35">
      <c r="A40" s="74" t="s">
        <v>144</v>
      </c>
      <c r="B40" s="72"/>
      <c r="C40" s="73"/>
      <c r="D40" s="72"/>
      <c r="E40" s="72"/>
      <c r="F40" s="72"/>
      <c r="G40" s="49"/>
    </row>
    <row r="41" spans="1:8" ht="15" customHeight="1" x14ac:dyDescent="0.35">
      <c r="A41" s="49" t="s">
        <v>31</v>
      </c>
      <c r="B41" s="49" t="s">
        <v>145</v>
      </c>
      <c r="C41" s="15" t="s">
        <v>69</v>
      </c>
      <c r="D41" s="83"/>
      <c r="E41" s="84">
        <f t="shared" ref="E41:E48" si="9">D41/2*100</f>
        <v>0</v>
      </c>
      <c r="F41" s="84">
        <f t="shared" ref="F41:F48" si="10">IF(E41&gt;=80,1,0)</f>
        <v>0</v>
      </c>
      <c r="G41" s="84">
        <f t="shared" ref="G41:G48" si="11">AVERAGE(VALUE(LEFT(C41,FIND("-",C41)-1)),VALUE(RIGHT(C41,LEN(C41)-FIND("-",C41))))</f>
        <v>2.5</v>
      </c>
      <c r="H41" s="16" t="s">
        <v>146</v>
      </c>
    </row>
    <row r="42" spans="1:8" ht="15" customHeight="1" x14ac:dyDescent="0.35">
      <c r="A42" s="49" t="s">
        <v>31</v>
      </c>
      <c r="B42" s="49" t="s">
        <v>147</v>
      </c>
      <c r="C42" s="15" t="s">
        <v>82</v>
      </c>
      <c r="D42" s="83"/>
      <c r="E42" s="84">
        <f t="shared" si="9"/>
        <v>0</v>
      </c>
      <c r="F42" s="84">
        <f t="shared" si="10"/>
        <v>0</v>
      </c>
      <c r="G42" s="84">
        <f t="shared" si="11"/>
        <v>5.5</v>
      </c>
      <c r="H42" s="16" t="s">
        <v>148</v>
      </c>
    </row>
    <row r="43" spans="1:8" ht="15" customHeight="1" x14ac:dyDescent="0.35">
      <c r="A43" s="49" t="s">
        <v>31</v>
      </c>
      <c r="B43" s="49" t="s">
        <v>149</v>
      </c>
      <c r="C43" s="15" t="s">
        <v>85</v>
      </c>
      <c r="D43" s="83"/>
      <c r="E43" s="84">
        <f t="shared" si="9"/>
        <v>0</v>
      </c>
      <c r="F43" s="84">
        <f t="shared" si="10"/>
        <v>0</v>
      </c>
      <c r="G43" s="84">
        <f t="shared" si="11"/>
        <v>6.5</v>
      </c>
      <c r="H43" s="16" t="s">
        <v>150</v>
      </c>
    </row>
    <row r="44" spans="1:8" ht="15" customHeight="1" x14ac:dyDescent="0.35">
      <c r="A44" s="49" t="s">
        <v>31</v>
      </c>
      <c r="B44" s="49" t="s">
        <v>151</v>
      </c>
      <c r="C44" s="15" t="s">
        <v>85</v>
      </c>
      <c r="D44" s="83"/>
      <c r="E44" s="84">
        <f t="shared" si="9"/>
        <v>0</v>
      </c>
      <c r="F44" s="84">
        <f t="shared" si="10"/>
        <v>0</v>
      </c>
      <c r="G44" s="84">
        <f t="shared" si="11"/>
        <v>6.5</v>
      </c>
      <c r="H44" s="16" t="s">
        <v>152</v>
      </c>
    </row>
    <row r="45" spans="1:8" ht="15" customHeight="1" x14ac:dyDescent="0.35">
      <c r="A45" s="49" t="s">
        <v>31</v>
      </c>
      <c r="B45" s="49" t="s">
        <v>153</v>
      </c>
      <c r="C45" s="15" t="s">
        <v>88</v>
      </c>
      <c r="D45" s="83"/>
      <c r="E45" s="84">
        <f t="shared" si="9"/>
        <v>0</v>
      </c>
      <c r="F45" s="84">
        <f t="shared" si="10"/>
        <v>0</v>
      </c>
      <c r="G45" s="84">
        <f t="shared" si="11"/>
        <v>8</v>
      </c>
      <c r="H45" s="16" t="s">
        <v>154</v>
      </c>
    </row>
    <row r="46" spans="1:8" ht="15" customHeight="1" x14ac:dyDescent="0.35">
      <c r="A46" s="49" t="s">
        <v>31</v>
      </c>
      <c r="B46" s="49" t="s">
        <v>155</v>
      </c>
      <c r="C46" s="15" t="s">
        <v>156</v>
      </c>
      <c r="D46" s="83"/>
      <c r="E46" s="84">
        <f t="shared" si="9"/>
        <v>0</v>
      </c>
      <c r="F46" s="84">
        <f t="shared" si="10"/>
        <v>0</v>
      </c>
      <c r="G46" s="84">
        <f t="shared" si="11"/>
        <v>9</v>
      </c>
      <c r="H46" s="16" t="s">
        <v>157</v>
      </c>
    </row>
    <row r="47" spans="1:8" ht="15" customHeight="1" x14ac:dyDescent="0.35">
      <c r="A47" s="49" t="s">
        <v>31</v>
      </c>
      <c r="B47" s="49" t="s">
        <v>158</v>
      </c>
      <c r="C47" s="15" t="s">
        <v>97</v>
      </c>
      <c r="D47" s="83"/>
      <c r="E47" s="84">
        <f t="shared" si="9"/>
        <v>0</v>
      </c>
      <c r="F47" s="84">
        <f t="shared" si="10"/>
        <v>0</v>
      </c>
      <c r="G47" s="84">
        <f t="shared" si="11"/>
        <v>10</v>
      </c>
      <c r="H47" s="16" t="s">
        <v>159</v>
      </c>
    </row>
    <row r="48" spans="1:8" ht="15" customHeight="1" x14ac:dyDescent="0.35">
      <c r="A48" s="49" t="s">
        <v>31</v>
      </c>
      <c r="B48" s="49" t="s">
        <v>160</v>
      </c>
      <c r="C48" s="15" t="s">
        <v>161</v>
      </c>
      <c r="D48" s="83"/>
      <c r="E48" s="84">
        <f t="shared" si="9"/>
        <v>0</v>
      </c>
      <c r="F48" s="84">
        <f t="shared" si="10"/>
        <v>0</v>
      </c>
      <c r="G48" s="84">
        <f t="shared" si="11"/>
        <v>12</v>
      </c>
      <c r="H48" s="16" t="s">
        <v>162</v>
      </c>
    </row>
    <row r="49" spans="1:8" ht="15" customHeight="1" x14ac:dyDescent="0.35">
      <c r="A49" s="74" t="s">
        <v>163</v>
      </c>
      <c r="B49" s="72"/>
      <c r="C49" s="73"/>
      <c r="D49" s="72"/>
      <c r="E49" s="72"/>
      <c r="F49" s="72"/>
      <c r="G49" s="49"/>
    </row>
    <row r="50" spans="1:8" ht="15" customHeight="1" x14ac:dyDescent="0.35">
      <c r="A50" s="49" t="s">
        <v>32</v>
      </c>
      <c r="B50" s="49" t="s">
        <v>164</v>
      </c>
      <c r="C50" s="15" t="s">
        <v>69</v>
      </c>
      <c r="D50" s="50"/>
      <c r="E50" s="18">
        <f>D50/2*100</f>
        <v>0</v>
      </c>
      <c r="F50" s="18">
        <f>IF(E50&gt;=80,1,0)</f>
        <v>0</v>
      </c>
      <c r="G50" s="18">
        <f>AVERAGE(VALUE(LEFT(C50,FIND("-",C50)-1)),VALUE(RIGHT(C50,LEN(C50)-FIND("-",C50))))</f>
        <v>2.5</v>
      </c>
      <c r="H50" s="16" t="s">
        <v>165</v>
      </c>
    </row>
    <row r="51" spans="1:8" ht="15" customHeight="1" x14ac:dyDescent="0.35">
      <c r="A51" s="49" t="s">
        <v>32</v>
      </c>
      <c r="B51" s="49" t="s">
        <v>166</v>
      </c>
      <c r="C51" s="15" t="s">
        <v>91</v>
      </c>
      <c r="D51" s="50"/>
      <c r="E51" s="18">
        <f>D51/2*100</f>
        <v>0</v>
      </c>
      <c r="F51" s="18">
        <f>IF(E51&gt;=80,1,0)</f>
        <v>0</v>
      </c>
      <c r="G51" s="18">
        <f>AVERAGE(VALUE(LEFT(C51,FIND("-",C51)-1)),VALUE(RIGHT(C51,LEN(C51)-FIND("-",C51))))</f>
        <v>7</v>
      </c>
      <c r="H51" s="16" t="s">
        <v>167</v>
      </c>
    </row>
    <row r="52" spans="1:8" ht="15" customHeight="1" x14ac:dyDescent="0.35">
      <c r="A52" s="49" t="s">
        <v>32</v>
      </c>
      <c r="B52" s="49" t="s">
        <v>168</v>
      </c>
      <c r="C52" s="15" t="s">
        <v>88</v>
      </c>
      <c r="D52" s="50"/>
      <c r="E52" s="18">
        <f>D52/2*100</f>
        <v>0</v>
      </c>
      <c r="F52" s="18">
        <f>IF(E52&gt;=80,1,0)</f>
        <v>0</v>
      </c>
      <c r="G52" s="18">
        <f>AVERAGE(VALUE(LEFT(C52,FIND("-",C52)-1)),VALUE(RIGHT(C52,LEN(C52)-FIND("-",C52))))</f>
        <v>8</v>
      </c>
      <c r="H52" s="16" t="s">
        <v>169</v>
      </c>
    </row>
    <row r="53" spans="1:8" ht="15" customHeight="1" x14ac:dyDescent="0.35">
      <c r="A53" s="49" t="s">
        <v>32</v>
      </c>
      <c r="B53" s="49" t="s">
        <v>170</v>
      </c>
      <c r="C53" s="15" t="s">
        <v>156</v>
      </c>
      <c r="D53" s="50"/>
      <c r="E53" s="18">
        <f>D53/2*100</f>
        <v>0</v>
      </c>
      <c r="F53" s="18">
        <f>IF(E53&gt;=80,1,0)</f>
        <v>0</v>
      </c>
      <c r="G53" s="18">
        <f>AVERAGE(VALUE(LEFT(C53,FIND("-",C53)-1)),VALUE(RIGHT(C53,LEN(C53)-FIND("-",C53))))</f>
        <v>9</v>
      </c>
      <c r="H53" s="16" t="s">
        <v>171</v>
      </c>
    </row>
    <row r="54" spans="1:8" ht="15" customHeight="1" x14ac:dyDescent="0.35">
      <c r="A54" s="49" t="s">
        <v>32</v>
      </c>
      <c r="B54" s="49" t="s">
        <v>172</v>
      </c>
      <c r="C54" s="15" t="s">
        <v>173</v>
      </c>
      <c r="D54" s="50"/>
      <c r="E54" s="18">
        <f>D54/2*100</f>
        <v>0</v>
      </c>
      <c r="F54" s="18">
        <f>IF(E54&gt;=80,1,0)</f>
        <v>0</v>
      </c>
      <c r="G54" s="18">
        <f>AVERAGE(VALUE(LEFT(C54,FIND("-",C54)-1)),VALUE(RIGHT(C54,LEN(C54)-FIND("-",C54))))</f>
        <v>10.5</v>
      </c>
      <c r="H54" s="16" t="s">
        <v>174</v>
      </c>
    </row>
    <row r="55" spans="1:8" ht="15" customHeight="1" x14ac:dyDescent="0.35">
      <c r="A55" s="74" t="s">
        <v>175</v>
      </c>
      <c r="B55" s="72"/>
      <c r="C55" s="73"/>
      <c r="D55" s="72"/>
      <c r="E55" s="72"/>
      <c r="F55" s="72"/>
      <c r="G55" s="49"/>
    </row>
    <row r="56" spans="1:8" ht="15" customHeight="1" x14ac:dyDescent="0.35">
      <c r="A56" s="49" t="s">
        <v>33</v>
      </c>
      <c r="B56" s="49" t="s">
        <v>176</v>
      </c>
      <c r="C56" s="15" t="s">
        <v>128</v>
      </c>
      <c r="D56" s="50"/>
      <c r="E56" s="18">
        <f t="shared" ref="E56:E61" si="12">D56/2*100</f>
        <v>0</v>
      </c>
      <c r="F56" s="18">
        <f t="shared" ref="F56:F61" si="13">IF(E56&gt;=80,1,0)</f>
        <v>0</v>
      </c>
      <c r="G56" s="18">
        <f t="shared" ref="G56:G61" si="14">AVERAGE(VALUE(LEFT(C56,FIND("-",C56)-1)),VALUE(RIGHT(C56,LEN(C56)-FIND("-",C56))))</f>
        <v>1.5</v>
      </c>
      <c r="H56" s="16" t="s">
        <v>177</v>
      </c>
    </row>
    <row r="57" spans="1:8" ht="15" customHeight="1" x14ac:dyDescent="0.35">
      <c r="A57" s="49" t="s">
        <v>33</v>
      </c>
      <c r="B57" s="49" t="s">
        <v>178</v>
      </c>
      <c r="C57" s="15" t="s">
        <v>69</v>
      </c>
      <c r="D57" s="50"/>
      <c r="E57" s="18">
        <f t="shared" si="12"/>
        <v>0</v>
      </c>
      <c r="F57" s="18">
        <f t="shared" si="13"/>
        <v>0</v>
      </c>
      <c r="G57" s="18">
        <f t="shared" si="14"/>
        <v>2.5</v>
      </c>
      <c r="H57" s="16" t="s">
        <v>179</v>
      </c>
    </row>
    <row r="58" spans="1:8" ht="15" customHeight="1" x14ac:dyDescent="0.35">
      <c r="A58" s="49" t="s">
        <v>33</v>
      </c>
      <c r="B58" s="49" t="s">
        <v>180</v>
      </c>
      <c r="C58" s="15" t="s">
        <v>74</v>
      </c>
      <c r="D58" s="50"/>
      <c r="E58" s="18">
        <f t="shared" si="12"/>
        <v>0</v>
      </c>
      <c r="F58" s="18">
        <f t="shared" si="13"/>
        <v>0</v>
      </c>
      <c r="G58" s="18">
        <f t="shared" si="14"/>
        <v>3.5</v>
      </c>
      <c r="H58" s="16" t="s">
        <v>181</v>
      </c>
    </row>
    <row r="59" spans="1:8" ht="15" customHeight="1" x14ac:dyDescent="0.35">
      <c r="A59" s="49" t="s">
        <v>33</v>
      </c>
      <c r="B59" s="49" t="s">
        <v>182</v>
      </c>
      <c r="C59" s="15" t="s">
        <v>91</v>
      </c>
      <c r="D59" s="50"/>
      <c r="E59" s="18">
        <f t="shared" si="12"/>
        <v>0</v>
      </c>
      <c r="F59" s="18">
        <f t="shared" si="13"/>
        <v>0</v>
      </c>
      <c r="G59" s="18">
        <f t="shared" si="14"/>
        <v>7</v>
      </c>
      <c r="H59" s="16" t="s">
        <v>183</v>
      </c>
    </row>
    <row r="60" spans="1:8" ht="15" customHeight="1" x14ac:dyDescent="0.35">
      <c r="A60" s="49" t="s">
        <v>33</v>
      </c>
      <c r="B60" s="49" t="s">
        <v>184</v>
      </c>
      <c r="C60" s="15" t="s">
        <v>142</v>
      </c>
      <c r="D60" s="50"/>
      <c r="E60" s="18">
        <f t="shared" si="12"/>
        <v>0</v>
      </c>
      <c r="F60" s="18">
        <f t="shared" si="13"/>
        <v>0</v>
      </c>
      <c r="G60" s="18">
        <f t="shared" si="14"/>
        <v>7.5</v>
      </c>
      <c r="H60" s="16" t="s">
        <v>185</v>
      </c>
    </row>
    <row r="61" spans="1:8" ht="15" customHeight="1" x14ac:dyDescent="0.35">
      <c r="A61" s="49" t="s">
        <v>33</v>
      </c>
      <c r="B61" s="49" t="s">
        <v>186</v>
      </c>
      <c r="C61" s="15" t="s">
        <v>187</v>
      </c>
      <c r="D61" s="50"/>
      <c r="E61" s="18">
        <f t="shared" si="12"/>
        <v>0</v>
      </c>
      <c r="F61" s="18">
        <f t="shared" si="13"/>
        <v>0</v>
      </c>
      <c r="G61" s="18">
        <f t="shared" si="14"/>
        <v>10</v>
      </c>
      <c r="H61" s="16" t="s">
        <v>188</v>
      </c>
    </row>
    <row r="62" spans="1:8" ht="15" customHeight="1" x14ac:dyDescent="0.35">
      <c r="A62" s="74" t="s">
        <v>189</v>
      </c>
      <c r="B62" s="72"/>
      <c r="C62" s="73"/>
      <c r="D62" s="72"/>
      <c r="E62" s="72"/>
      <c r="F62" s="72"/>
      <c r="G62" s="49"/>
    </row>
    <row r="63" spans="1:8" ht="15" customHeight="1" x14ac:dyDescent="0.35">
      <c r="A63" s="49" t="s">
        <v>34</v>
      </c>
      <c r="B63" s="49" t="s">
        <v>190</v>
      </c>
      <c r="C63" s="15" t="s">
        <v>128</v>
      </c>
      <c r="D63" s="50"/>
      <c r="E63" s="18">
        <f>D63/2*100</f>
        <v>0</v>
      </c>
      <c r="F63" s="18">
        <f>IF(E63&gt;=80,1,0)</f>
        <v>0</v>
      </c>
      <c r="G63" s="18">
        <f>AVERAGE(VALUE(LEFT(C63,FIND("-",C63)-1)),VALUE(RIGHT(C63,LEN(C63)-FIND("-",C63))))</f>
        <v>1.5</v>
      </c>
      <c r="H63" s="16" t="s">
        <v>191</v>
      </c>
    </row>
    <row r="64" spans="1:8" ht="15" customHeight="1" x14ac:dyDescent="0.35">
      <c r="A64" s="49" t="s">
        <v>34</v>
      </c>
      <c r="B64" s="49" t="s">
        <v>192</v>
      </c>
      <c r="C64" s="15" t="s">
        <v>69</v>
      </c>
      <c r="D64" s="50"/>
      <c r="E64" s="18">
        <f>D64/2*100</f>
        <v>0</v>
      </c>
      <c r="F64" s="18">
        <f>IF(E64&gt;=80,1,0)</f>
        <v>0</v>
      </c>
      <c r="G64" s="18">
        <f>AVERAGE(VALUE(LEFT(C64,FIND("-",C64)-1)),VALUE(RIGHT(C64,LEN(C64)-FIND("-",C64))))</f>
        <v>2.5</v>
      </c>
      <c r="H64" s="16" t="s">
        <v>193</v>
      </c>
    </row>
    <row r="65" spans="1:8" ht="15" customHeight="1" x14ac:dyDescent="0.35">
      <c r="A65" s="49" t="s">
        <v>34</v>
      </c>
      <c r="B65" s="49" t="s">
        <v>194</v>
      </c>
      <c r="C65" s="15" t="s">
        <v>139</v>
      </c>
      <c r="D65" s="50"/>
      <c r="E65" s="18">
        <f>D65/2*100</f>
        <v>0</v>
      </c>
      <c r="F65" s="18">
        <f>IF(E65&gt;=80,1,0)</f>
        <v>0</v>
      </c>
      <c r="G65" s="18">
        <f>AVERAGE(VALUE(LEFT(C65,FIND("-",C65)-1)),VALUE(RIGHT(C65,LEN(C65)-FIND("-",C65))))</f>
        <v>5</v>
      </c>
      <c r="H65" s="16" t="s">
        <v>195</v>
      </c>
    </row>
    <row r="66" spans="1:8" ht="15" customHeight="1" x14ac:dyDescent="0.35">
      <c r="A66" s="49" t="s">
        <v>34</v>
      </c>
      <c r="B66" s="49" t="s">
        <v>196</v>
      </c>
      <c r="C66" s="15" t="s">
        <v>88</v>
      </c>
      <c r="D66" s="50"/>
      <c r="E66" s="18">
        <f>D66/2*100</f>
        <v>0</v>
      </c>
      <c r="F66" s="18">
        <f>IF(E66&gt;=80,1,0)</f>
        <v>0</v>
      </c>
      <c r="G66" s="18">
        <f>AVERAGE(VALUE(LEFT(C66,FIND("-",C66)-1)),VALUE(RIGHT(C66,LEN(C66)-FIND("-",C66))))</f>
        <v>8</v>
      </c>
      <c r="H66" s="16" t="s">
        <v>197</v>
      </c>
    </row>
    <row r="67" spans="1:8" ht="15" customHeight="1" x14ac:dyDescent="0.35">
      <c r="A67" s="49" t="s">
        <v>34</v>
      </c>
      <c r="B67" s="49" t="s">
        <v>198</v>
      </c>
      <c r="C67" s="15" t="s">
        <v>173</v>
      </c>
      <c r="D67" s="50"/>
      <c r="E67" s="18">
        <f>D67/2*100</f>
        <v>0</v>
      </c>
      <c r="F67" s="18">
        <f>IF(E67&gt;=80,1,0)</f>
        <v>0</v>
      </c>
      <c r="G67" s="18">
        <f>AVERAGE(VALUE(LEFT(C67,FIND("-",C67)-1)),VALUE(RIGHT(C67,LEN(C67)-FIND("-",C67))))</f>
        <v>10.5</v>
      </c>
      <c r="H67" s="16" t="s">
        <v>199</v>
      </c>
    </row>
    <row r="68" spans="1:8" ht="15" customHeight="1" x14ac:dyDescent="0.35">
      <c r="A68" s="19"/>
    </row>
  </sheetData>
  <sheetProtection algorithmName="SHA-512" hashValue="7Wh+Lri//nvMbMqHXFg2bCFd2z1FEgB7+JT0D90SCLkBI2qJOTIAksh+EkcdbfZd2GVxfVaGHYQ4MSdXSsQlLw==" saltValue="9bO/RNyyf2vpoycwHySXqw==" spinCount="100000" sheet="1" objects="1" scenarios="1" selectLockedCells="1"/>
  <mergeCells count="14">
    <mergeCell ref="A62:F62"/>
    <mergeCell ref="A3:F3"/>
    <mergeCell ref="A55:F55"/>
    <mergeCell ref="A7:F7"/>
    <mergeCell ref="A2:F2"/>
    <mergeCell ref="A49:F49"/>
    <mergeCell ref="A1:F1"/>
    <mergeCell ref="A23:F23"/>
    <mergeCell ref="A9:F9"/>
    <mergeCell ref="A32:F32"/>
    <mergeCell ref="A5:F5"/>
    <mergeCell ref="A6:F6"/>
    <mergeCell ref="A40:F40"/>
    <mergeCell ref="A4:F4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22"/>
  <sheetViews>
    <sheetView view="pageLayout" topLeftCell="A4" zoomScaleNormal="100" workbookViewId="0">
      <selection activeCell="B3" sqref="B3"/>
    </sheetView>
  </sheetViews>
  <sheetFormatPr defaultColWidth="8.7265625" defaultRowHeight="14.5" x14ac:dyDescent="0.35"/>
  <sheetData>
    <row r="22" spans="2:2" ht="15" customHeight="1" x14ac:dyDescent="0.35">
      <c r="B22" s="39"/>
    </row>
  </sheetData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M47"/>
  <sheetViews>
    <sheetView topLeftCell="A25" zoomScale="81" zoomScaleNormal="81" workbookViewId="0">
      <selection activeCell="P34" sqref="P34"/>
    </sheetView>
  </sheetViews>
  <sheetFormatPr defaultColWidth="8.7265625" defaultRowHeight="14.5" x14ac:dyDescent="0.35"/>
  <cols>
    <col min="1" max="1" width="12.7265625" style="87" customWidth="1"/>
    <col min="2" max="2" width="22" style="87" customWidth="1"/>
    <col min="3" max="3" width="3.26953125" style="87" customWidth="1"/>
    <col min="4" max="4" width="17" style="87" customWidth="1"/>
    <col min="5" max="5" width="38.453125" style="87" customWidth="1"/>
    <col min="6" max="16384" width="8.7265625" style="87"/>
  </cols>
  <sheetData>
    <row r="1" spans="1:11" ht="15" customHeight="1" x14ac:dyDescent="0.35">
      <c r="A1" s="85" t="s">
        <v>200</v>
      </c>
      <c r="B1" s="86"/>
      <c r="D1" s="85" t="s">
        <v>201</v>
      </c>
      <c r="E1" s="86"/>
      <c r="H1" s="88" t="s">
        <v>202</v>
      </c>
      <c r="I1" s="88"/>
      <c r="J1" s="88"/>
      <c r="K1" s="88"/>
    </row>
    <row r="2" spans="1:11" ht="15" customHeight="1" x14ac:dyDescent="0.35">
      <c r="A2" s="89" t="s">
        <v>203</v>
      </c>
      <c r="B2" s="89" t="s">
        <v>204</v>
      </c>
      <c r="D2" s="90" t="s">
        <v>205</v>
      </c>
      <c r="E2" s="89" t="s">
        <v>206</v>
      </c>
      <c r="G2" s="91" t="s">
        <v>207</v>
      </c>
      <c r="H2" s="91"/>
      <c r="I2" s="91"/>
      <c r="J2" s="91"/>
    </row>
    <row r="3" spans="1:11" ht="15" customHeight="1" x14ac:dyDescent="0.35">
      <c r="A3" s="92" t="s">
        <v>208</v>
      </c>
      <c r="B3" s="93">
        <f>ПАСПОРТ!B2</f>
        <v>0</v>
      </c>
      <c r="D3" s="94" t="s">
        <v>209</v>
      </c>
      <c r="E3" s="95" t="str">
        <f>профиль!B11</f>
        <v>Дене дамуы</v>
      </c>
      <c r="G3" s="96" t="s">
        <v>210</v>
      </c>
      <c r="H3" s="96"/>
      <c r="I3" s="96"/>
      <c r="J3" s="96"/>
    </row>
    <row r="4" spans="1:11" ht="15" customHeight="1" x14ac:dyDescent="0.35">
      <c r="A4" s="92" t="s">
        <v>211</v>
      </c>
      <c r="B4" s="97">
        <f>ПАСПОРТ!B5</f>
        <v>0</v>
      </c>
      <c r="D4" s="94" t="s">
        <v>212</v>
      </c>
      <c r="E4" s="94" t="str">
        <f>профиль!B12</f>
        <v>Дене дамуы</v>
      </c>
      <c r="G4" s="98" t="s">
        <v>213</v>
      </c>
      <c r="H4" s="98"/>
      <c r="I4" s="98"/>
      <c r="J4" s="98"/>
    </row>
    <row r="5" spans="1:11" ht="60.75" customHeight="1" x14ac:dyDescent="0.35">
      <c r="A5" s="92"/>
      <c r="B5" s="97"/>
      <c r="D5" s="94" t="s">
        <v>214</v>
      </c>
      <c r="E5" s="94" t="str">
        <f>профиль!C21</f>
        <v>Жақын арадағы даму аймағы: Өзіне-өзі қызмет. Осы саланы дамыту жақын арада ең жоғары прогресске әкелуі мүмкін.</v>
      </c>
      <c r="G5" s="99" t="s">
        <v>215</v>
      </c>
      <c r="H5" s="100"/>
      <c r="I5" s="100"/>
      <c r="J5" s="100"/>
    </row>
    <row r="6" spans="1:11" ht="110.25" customHeight="1" x14ac:dyDescent="0.35">
      <c r="A6" s="101" t="s">
        <v>27</v>
      </c>
      <c r="B6" s="102">
        <f>ПАСПОРТ!B4</f>
        <v>0</v>
      </c>
      <c r="D6" s="103" t="s">
        <v>216</v>
      </c>
      <c r="E6" s="104" t="str">
        <f>профиль!L9</f>
        <v>Дамудың орташа деңгейі 0%. Күшті жағы — Дене дамуы. Ең назар аударатын сала — Дене дамуы. Салалар арасындағы айырмашылық — 0%. Тәуекел деңгейі: Дамудың іркілу қаупі өте жоғары.</v>
      </c>
      <c r="G6" s="105" t="s">
        <v>217</v>
      </c>
      <c r="H6" s="86"/>
      <c r="I6" s="86"/>
      <c r="J6" s="86"/>
    </row>
    <row r="7" spans="1:11" ht="43.5" customHeight="1" x14ac:dyDescent="0.35">
      <c r="A7" s="92" t="s">
        <v>218</v>
      </c>
      <c r="B7" s="106" t="str">
        <f>ПАСПОРТ!B8</f>
        <v>Нормативтік</v>
      </c>
      <c r="D7" s="107" t="s">
        <v>219</v>
      </c>
      <c r="E7" s="94" t="str">
        <f>профиль!B24</f>
        <v>Дамуы салыстырмалы түрде үйлесімді</v>
      </c>
      <c r="J7" s="108"/>
    </row>
    <row r="8" spans="1:11" ht="60" customHeight="1" x14ac:dyDescent="0.35">
      <c r="A8" s="109" t="s">
        <v>220</v>
      </c>
      <c r="B8" s="110">
        <f>профиль!B10</f>
        <v>0</v>
      </c>
      <c r="D8" s="111" t="s">
        <v>221</v>
      </c>
      <c r="E8" s="103" t="str">
        <f>профиль!K9</f>
        <v>Баланың функционалдық даму деңгейі шамамен 0–0 айлық диапазонға сәйкес келеді.</v>
      </c>
    </row>
    <row r="9" spans="1:11" ht="78" customHeight="1" x14ac:dyDescent="0.35">
      <c r="A9" s="112" t="s">
        <v>222</v>
      </c>
      <c r="B9" s="113" t="str">
        <f>профиль!K10</f>
        <v xml:space="preserve"> Паспорт жасы мен даму деңгейі арасындағы айырмашылық шамамен 0,0 жылды құрайды.</v>
      </c>
      <c r="D9" s="114" t="s">
        <v>223</v>
      </c>
      <c r="E9" s="103" t="str">
        <f>профиль!B31</f>
        <v>Кешенді коррекциялық көмек ұсынылады</v>
      </c>
    </row>
    <row r="10" spans="1:11" ht="15" customHeight="1" x14ac:dyDescent="0.35">
      <c r="A10" s="115"/>
    </row>
    <row r="18" spans="1:13" ht="15" customHeight="1" x14ac:dyDescent="0.35">
      <c r="K18" s="116"/>
    </row>
    <row r="20" spans="1:13" ht="15" customHeight="1" x14ac:dyDescent="0.35">
      <c r="F20" s="116" t="s">
        <v>224</v>
      </c>
    </row>
    <row r="21" spans="1:13" ht="15" customHeight="1" x14ac:dyDescent="0.35">
      <c r="F21" s="116" t="s">
        <v>225</v>
      </c>
    </row>
    <row r="28" spans="1:13" ht="15" customHeight="1" x14ac:dyDescent="0.35">
      <c r="A28" s="116" t="s">
        <v>226</v>
      </c>
    </row>
    <row r="29" spans="1:13" ht="15" customHeight="1" x14ac:dyDescent="0.35">
      <c r="A29" s="116" t="s">
        <v>227</v>
      </c>
    </row>
    <row r="30" spans="1:13" ht="23.25" customHeight="1" x14ac:dyDescent="0.35">
      <c r="F30" s="116" t="s">
        <v>228</v>
      </c>
      <c r="G30" s="116"/>
      <c r="H30" s="116"/>
      <c r="I30" s="116"/>
      <c r="J30" s="116"/>
      <c r="K30" s="116"/>
      <c r="L30" s="116"/>
      <c r="M30" s="116"/>
    </row>
    <row r="31" spans="1:13" ht="18.75" customHeight="1" x14ac:dyDescent="0.45">
      <c r="B31" s="117" t="s">
        <v>229</v>
      </c>
      <c r="C31" s="118"/>
      <c r="D31" s="118"/>
    </row>
    <row r="33" spans="1:11" ht="15" customHeight="1" x14ac:dyDescent="0.35">
      <c r="A33" s="119" t="s">
        <v>59</v>
      </c>
      <c r="B33" s="119" t="s">
        <v>230</v>
      </c>
    </row>
    <row r="34" spans="1:11" ht="77.25" customHeight="1" x14ac:dyDescent="0.35">
      <c r="A34" s="94" t="str">
        <f>профиль!A2</f>
        <v>Дене дамуы</v>
      </c>
      <c r="B34" s="120" t="str">
        <f>профиль!M2</f>
        <v>Саласы "Сөйлеу" басым түзету қолдауын талап етеді. Ұсынылады: логопедиялық көмек</v>
      </c>
    </row>
    <row r="35" spans="1:11" ht="77.25" customHeight="1" x14ac:dyDescent="0.35">
      <c r="A35" s="94" t="str">
        <f>профиль!A3</f>
        <v>Ұсақ моторика</v>
      </c>
      <c r="B35" s="120" t="str">
        <f>профиль!M3</f>
        <v>Саласы "Танымдық" басым түзету қолдауын талап етеді. Ұсынылады: құрылымдалған сабақтар</v>
      </c>
    </row>
    <row r="36" spans="1:11" ht="64.5" customHeight="1" x14ac:dyDescent="0.35">
      <c r="A36" s="94" t="str">
        <f>профиль!A4</f>
        <v>Сөйлеу</v>
      </c>
      <c r="B36" s="120" t="str">
        <f>профиль!M4</f>
        <v>Саласы "Эмоциялар" басым түзету қолдауын талап етеді. Ұсынылады: психолог көмегі</v>
      </c>
    </row>
    <row r="37" spans="1:11" ht="77.25" customHeight="1" x14ac:dyDescent="0.35">
      <c r="A37" s="94" t="str">
        <f>профиль!A5</f>
        <v>Танымдық</v>
      </c>
      <c r="B37" s="120" t="str">
        <f>профиль!M5</f>
        <v>Саласы "Танымдық" басым түзету қолдауын талап етеді. Ұсынылады: құрылымдалған сабақтар</v>
      </c>
    </row>
    <row r="38" spans="1:11" ht="64.5" customHeight="1" x14ac:dyDescent="0.35">
      <c r="A38" s="94" t="str">
        <f>профиль!A6</f>
        <v>Эмоциялар</v>
      </c>
      <c r="B38" s="120" t="str">
        <f>профиль!M6</f>
        <v>Саласы "Эмоциялар" басым түзету қолдауын талап етеді. Ұсынылады: психолог көмегі</v>
      </c>
    </row>
    <row r="39" spans="1:11" ht="78" customHeight="1" x14ac:dyDescent="0.35">
      <c r="A39" s="94" t="str">
        <f>профиль!A7</f>
        <v>Әлеуметтік</v>
      </c>
      <c r="B39" s="120" t="str">
        <f>профиль!M7</f>
        <v>Саласы "Әлеуметтік" басым түзету қолдауын талап етеді. Ұсынылады: маман қолдауы</v>
      </c>
    </row>
    <row r="40" spans="1:11" ht="91.5" customHeight="1" x14ac:dyDescent="0.35">
      <c r="A40" s="94" t="str">
        <f>профиль!A8</f>
        <v>Өзіне-өзі қызмет</v>
      </c>
      <c r="B40" s="120" t="str">
        <f>профиль!M8</f>
        <v>Саласы "Өзіне-өзі қызмет" басым түзету қолдауын талап етеді. Ұсынылады: күнделікті қолдау</v>
      </c>
    </row>
    <row r="42" spans="1:11" ht="45" customHeight="1" x14ac:dyDescent="0.35">
      <c r="A42" s="121" t="s">
        <v>231</v>
      </c>
      <c r="B42" s="94" t="str">
        <f>профиль!B16</f>
        <v>Дамудың моторлық профилі</v>
      </c>
      <c r="C42" s="95"/>
      <c r="D42" s="95"/>
      <c r="E42" s="95"/>
      <c r="F42" s="95"/>
      <c r="G42" s="95"/>
      <c r="H42" s="95"/>
      <c r="I42" s="95"/>
      <c r="J42" s="95"/>
      <c r="K42" s="95"/>
    </row>
    <row r="43" spans="1:11" ht="15" customHeight="1" x14ac:dyDescent="0.35">
      <c r="A43" s="122" t="s">
        <v>66</v>
      </c>
      <c r="B43" s="123" t="str">
        <f>профиль!B17</f>
        <v>Бала дағдыларды қозғалыс пен іс-әрекет арқылы жақсы меңгереді. Оқыту үшін қозғалыс белсенділігін пайдаланыңыз.</v>
      </c>
      <c r="C43" s="95"/>
      <c r="D43" s="95"/>
      <c r="E43" s="95"/>
      <c r="F43" s="95"/>
      <c r="G43" s="95"/>
      <c r="H43" s="95"/>
      <c r="I43" s="95"/>
      <c r="J43" s="95"/>
      <c r="K43" s="95"/>
    </row>
    <row r="44" spans="1:11" ht="30" customHeight="1" x14ac:dyDescent="0.35">
      <c r="A44" s="124" t="s">
        <v>232</v>
      </c>
      <c r="B44" s="123" t="str">
        <f>профиль!B18</f>
        <v>Қозғалыс арқылы оқыту: заттармен ойындар, жаттығулар, белсенді тапсырмалар.</v>
      </c>
      <c r="C44" s="95"/>
      <c r="D44" s="95"/>
      <c r="E44" s="95"/>
      <c r="F44" s="95"/>
      <c r="G44" s="95"/>
      <c r="H44" s="95"/>
      <c r="I44" s="95"/>
      <c r="J44" s="95"/>
      <c r="K44" s="95"/>
    </row>
    <row r="45" spans="1:11" ht="30" customHeight="1" x14ac:dyDescent="0.35">
      <c r="A45" s="94" t="s">
        <v>233</v>
      </c>
      <c r="B45" s="95" t="str">
        <f>профиль!B19</f>
        <v>Даму қарқыны айқын баяулаған</v>
      </c>
      <c r="C45" s="95"/>
      <c r="D45" s="95"/>
      <c r="E45" s="95"/>
      <c r="F45" s="95"/>
      <c r="G45" s="95"/>
      <c r="H45" s="95"/>
      <c r="I45" s="95"/>
      <c r="J45" s="95"/>
      <c r="K45" s="95"/>
    </row>
    <row r="46" spans="1:11" ht="30" customHeight="1" x14ac:dyDescent="0.35">
      <c r="A46" s="94" t="s">
        <v>234</v>
      </c>
      <c r="B46" s="87" t="str">
        <f>профиль!B20</f>
        <v>Кешенді түзету қолдауы ұсынылады.</v>
      </c>
    </row>
    <row r="47" spans="1:11" ht="15" customHeight="1" x14ac:dyDescent="0.35">
      <c r="A47" s="101"/>
      <c r="B47" s="95"/>
      <c r="C47" s="95"/>
      <c r="D47" s="95"/>
      <c r="E47" s="95"/>
      <c r="F47" s="95"/>
      <c r="G47" s="95"/>
      <c r="H47" s="95"/>
      <c r="I47" s="95"/>
    </row>
  </sheetData>
  <sheetProtection algorithmName="SHA-512" hashValue="wPMZm4rOxRiR0WQ+5g+MEDCzp6EOB2/1WYCj4TQ+wTDn/2m2hC4n5qhfpALtpA808VB1ALlqAkVMvkJeagx5uA==" saltValue="c5eubE3qCTYlIsxY3wdsHw==" spinCount="100000" sheet="1" objects="1" scenarios="1" selectLockedCells="1"/>
  <mergeCells count="3">
    <mergeCell ref="G6:J6"/>
    <mergeCell ref="D1:E1"/>
    <mergeCell ref="A1:B1"/>
  </mergeCells>
  <conditionalFormatting sqref="B8">
    <cfRule type="dataBar" priority="2">
      <dataBar>
        <cfvo type="min"/>
        <cfvo type="max"/>
        <color rgb="FF63C384"/>
      </dataBar>
    </cfRule>
    <cfRule type="cellIs" dxfId="12" priority="3" operator="greaterThanOrEqual">
      <formula>90</formula>
    </cfRule>
  </conditionalFormatting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 tint="-0.499984740745262"/>
  </sheetPr>
  <dimension ref="A1:C44"/>
  <sheetViews>
    <sheetView showGridLines="0" tabSelected="1" zoomScaleNormal="100" workbookViewId="0">
      <selection sqref="A1:C44"/>
    </sheetView>
  </sheetViews>
  <sheetFormatPr defaultColWidth="8.7265625" defaultRowHeight="14.5" x14ac:dyDescent="0.35"/>
  <cols>
    <col min="1" max="1" width="32" style="1" customWidth="1"/>
    <col min="2" max="2" width="42" style="1" customWidth="1"/>
    <col min="3" max="3" width="20" style="1" customWidth="1"/>
  </cols>
  <sheetData>
    <row r="1" spans="1:3" ht="30" customHeight="1" x14ac:dyDescent="0.35">
      <c r="A1" s="125" t="s">
        <v>235</v>
      </c>
      <c r="B1" s="86"/>
      <c r="C1" s="86"/>
    </row>
    <row r="2" spans="1:3" ht="19.5" customHeight="1" x14ac:dyDescent="0.35">
      <c r="A2" s="126" t="s">
        <v>236</v>
      </c>
      <c r="B2" s="127"/>
      <c r="C2" s="86"/>
    </row>
    <row r="3" spans="1:3" ht="15" customHeight="1" x14ac:dyDescent="0.35">
      <c r="A3" s="128" t="s">
        <v>237</v>
      </c>
      <c r="B3" s="129">
        <f>ПАСПОРТ!B2</f>
        <v>0</v>
      </c>
      <c r="C3" s="130"/>
    </row>
    <row r="4" spans="1:3" ht="15" customHeight="1" x14ac:dyDescent="0.35">
      <c r="A4" s="128" t="s">
        <v>27</v>
      </c>
      <c r="B4" s="129" t="str">
        <f>TEXT(ПАСПОРТ!B4,"ДД.ММ.ГГГГ")</f>
        <v>00.01.1900</v>
      </c>
      <c r="C4" s="130"/>
    </row>
    <row r="5" spans="1:3" ht="15" customHeight="1" x14ac:dyDescent="0.35">
      <c r="A5" s="128" t="s">
        <v>238</v>
      </c>
      <c r="B5" s="131">
        <f>ROUND(ПАСПОРТ!B5,1)</f>
        <v>0</v>
      </c>
      <c r="C5" s="130"/>
    </row>
    <row r="6" spans="1:3" ht="15" customHeight="1" x14ac:dyDescent="0.35">
      <c r="A6" s="128" t="s">
        <v>239</v>
      </c>
      <c r="B6" s="129" t="str">
        <f>ПАСПОРТ!B8</f>
        <v>Нормативтік</v>
      </c>
      <c r="C6" s="130"/>
    </row>
    <row r="7" spans="1:3" ht="6" customHeight="1" x14ac:dyDescent="0.35">
      <c r="A7" s="132"/>
      <c r="B7" s="132"/>
      <c r="C7" s="132"/>
    </row>
    <row r="8" spans="1:3" ht="19.5" customHeight="1" x14ac:dyDescent="0.35">
      <c r="A8" s="133" t="s">
        <v>240</v>
      </c>
      <c r="B8" s="134"/>
      <c r="C8" s="135"/>
    </row>
    <row r="9" spans="1:3" ht="15" customHeight="1" x14ac:dyDescent="0.35">
      <c r="A9" s="128" t="s">
        <v>241</v>
      </c>
      <c r="B9" s="129" t="str">
        <f>TEXT(профиль!B10,"0%")</f>
        <v>0%</v>
      </c>
      <c r="C9" s="130"/>
    </row>
    <row r="10" spans="1:3" ht="38.25" customHeight="1" x14ac:dyDescent="0.35">
      <c r="A10" s="128" t="s">
        <v>242</v>
      </c>
      <c r="B10" s="129" t="str">
        <f>профиль!K9</f>
        <v>Баланың функционалдық даму деңгейі шамамен 0–0 айлық диапазонға сәйкес келеді.</v>
      </c>
      <c r="C10" s="130"/>
    </row>
    <row r="11" spans="1:3" ht="15" customHeight="1" x14ac:dyDescent="0.35">
      <c r="A11" s="128" t="s">
        <v>209</v>
      </c>
      <c r="B11" s="129" t="str">
        <f>профиль!B11</f>
        <v>Дене дамуы</v>
      </c>
      <c r="C11" s="130"/>
    </row>
    <row r="12" spans="1:3" ht="15" customHeight="1" x14ac:dyDescent="0.35">
      <c r="A12" s="128" t="s">
        <v>243</v>
      </c>
      <c r="B12" s="129" t="str">
        <f>профиль!B15</f>
        <v>Дене дамуы</v>
      </c>
      <c r="C12" s="130"/>
    </row>
    <row r="13" spans="1:3" ht="15" customHeight="1" x14ac:dyDescent="0.35">
      <c r="A13" s="128" t="s">
        <v>214</v>
      </c>
      <c r="B13" s="129" t="str">
        <f>профиль!B21</f>
        <v>Өзіне-өзі қызмет</v>
      </c>
      <c r="C13" s="130"/>
    </row>
    <row r="14" spans="1:3" ht="15" customHeight="1" x14ac:dyDescent="0.35">
      <c r="A14" s="128" t="s">
        <v>244</v>
      </c>
      <c r="B14" s="129" t="str">
        <f>профиль!B16</f>
        <v>Дамудың моторлық профилі</v>
      </c>
      <c r="C14" s="130"/>
    </row>
    <row r="15" spans="1:3" ht="15" customHeight="1" x14ac:dyDescent="0.35">
      <c r="A15" s="128" t="s">
        <v>245</v>
      </c>
      <c r="B15" s="129" t="str">
        <f>профиль!B24</f>
        <v>Дамуы салыстырмалы түрде үйлесімді</v>
      </c>
      <c r="C15" s="130"/>
    </row>
    <row r="16" spans="1:3" ht="15" customHeight="1" x14ac:dyDescent="0.35">
      <c r="A16" s="128" t="s">
        <v>246</v>
      </c>
      <c r="B16" s="129" t="str">
        <f>профиль!B30</f>
        <v>Дамудың іркілу қаупі өте жоғары</v>
      </c>
      <c r="C16" s="130"/>
    </row>
    <row r="17" spans="1:3" ht="6" customHeight="1" x14ac:dyDescent="0.35">
      <c r="A17" s="132"/>
      <c r="B17" s="132"/>
      <c r="C17" s="132"/>
    </row>
    <row r="18" spans="1:3" ht="19.5" customHeight="1" x14ac:dyDescent="0.35">
      <c r="A18" s="136" t="s">
        <v>247</v>
      </c>
      <c r="B18" s="136" t="s">
        <v>248</v>
      </c>
      <c r="C18" s="136" t="s">
        <v>249</v>
      </c>
    </row>
    <row r="19" spans="1:3" ht="15" customHeight="1" x14ac:dyDescent="0.35">
      <c r="A19" s="128" t="str">
        <f>профиль!A2</f>
        <v>Дене дамуы</v>
      </c>
      <c r="B19" s="129" t="str">
        <f>профиль!K2</f>
        <v xml:space="preserve"> Айқын кешеу</v>
      </c>
      <c r="C19" s="129" t="str">
        <f>TEXT(профиль!F2,"0%")</f>
        <v>0%</v>
      </c>
    </row>
    <row r="20" spans="1:3" ht="15" customHeight="1" x14ac:dyDescent="0.35">
      <c r="A20" s="128" t="str">
        <f>профиль!A3</f>
        <v>Ұсақ моторика</v>
      </c>
      <c r="B20" s="129" t="str">
        <f>профиль!K3</f>
        <v xml:space="preserve"> Айқын кешеу</v>
      </c>
      <c r="C20" s="129" t="str">
        <f>TEXT(профиль!F3,"0%")</f>
        <v>0%</v>
      </c>
    </row>
    <row r="21" spans="1:3" ht="15" customHeight="1" x14ac:dyDescent="0.35">
      <c r="A21" s="128" t="str">
        <f>профиль!A4</f>
        <v>Сөйлеу</v>
      </c>
      <c r="B21" s="129" t="str">
        <f>профиль!K4</f>
        <v xml:space="preserve"> Айқын кешеу</v>
      </c>
      <c r="C21" s="129" t="str">
        <f>TEXT(профиль!F4,"0%")</f>
        <v>0%</v>
      </c>
    </row>
    <row r="22" spans="1:3" ht="15" customHeight="1" x14ac:dyDescent="0.35">
      <c r="A22" s="128" t="str">
        <f>профиль!A5</f>
        <v>Танымдық</v>
      </c>
      <c r="B22" s="129" t="str">
        <f>профиль!K5</f>
        <v xml:space="preserve"> Айқын кешеу</v>
      </c>
      <c r="C22" s="129" t="str">
        <f>TEXT(профиль!F5,"0%")</f>
        <v>0%</v>
      </c>
    </row>
    <row r="23" spans="1:3" ht="15" customHeight="1" x14ac:dyDescent="0.35">
      <c r="A23" s="128" t="str">
        <f>профиль!A6</f>
        <v>Эмоциялар</v>
      </c>
      <c r="B23" s="129" t="str">
        <f>профиль!K6</f>
        <v xml:space="preserve"> Айқын кешеу</v>
      </c>
      <c r="C23" s="129" t="str">
        <f>TEXT(профиль!F6,"0%")</f>
        <v>0%</v>
      </c>
    </row>
    <row r="24" spans="1:3" ht="15" customHeight="1" x14ac:dyDescent="0.35">
      <c r="A24" s="128" t="str">
        <f>профиль!A7</f>
        <v>Әлеуметтік</v>
      </c>
      <c r="B24" s="129" t="str">
        <f>профиль!K7</f>
        <v xml:space="preserve"> Айқын кешеу</v>
      </c>
      <c r="C24" s="129" t="str">
        <f>TEXT(профиль!F7,"0%")</f>
        <v>0%</v>
      </c>
    </row>
    <row r="25" spans="1:3" ht="15" customHeight="1" x14ac:dyDescent="0.35">
      <c r="A25" s="128" t="str">
        <f>профиль!A8</f>
        <v>Өзіне-өзі қызмет</v>
      </c>
      <c r="B25" s="129" t="str">
        <f>профиль!K8</f>
        <v xml:space="preserve"> Айқын кешеу</v>
      </c>
      <c r="C25" s="129" t="str">
        <f>TEXT(профиль!F8,"0%")</f>
        <v>0%</v>
      </c>
    </row>
    <row r="26" spans="1:3" ht="6" customHeight="1" x14ac:dyDescent="0.35">
      <c r="A26" s="132"/>
      <c r="B26" s="132"/>
      <c r="C26" s="132"/>
    </row>
    <row r="27" spans="1:3" ht="19.5" customHeight="1" x14ac:dyDescent="0.35">
      <c r="A27" s="133" t="s">
        <v>250</v>
      </c>
      <c r="B27" s="134"/>
      <c r="C27" s="135"/>
    </row>
    <row r="28" spans="1:3" ht="15" customHeight="1" x14ac:dyDescent="0.35">
      <c r="A28" s="128" t="s">
        <v>251</v>
      </c>
      <c r="B28" s="137" t="str">
        <f>профиль!B32</f>
        <v>Физиотерапевт / ЛФК</v>
      </c>
      <c r="C28" s="135"/>
    </row>
    <row r="29" spans="1:3" ht="15" customHeight="1" x14ac:dyDescent="0.35">
      <c r="A29" s="128" t="s">
        <v>252</v>
      </c>
      <c r="B29" s="137" t="str">
        <f>профиль!B33</f>
        <v>Емдік дене шынықтыру, физиотерапия</v>
      </c>
      <c r="C29" s="135"/>
    </row>
    <row r="30" spans="1:3" ht="15" customHeight="1" x14ac:dyDescent="0.35">
      <c r="A30" s="128" t="s">
        <v>253</v>
      </c>
      <c r="B30" s="137" t="str">
        <f>профиль!B29</f>
        <v>Ұсынылатын жүктеме: күніне 60–90 минуттық сабақтар</v>
      </c>
      <c r="C30" s="135"/>
    </row>
    <row r="31" spans="1:3" ht="39.75" customHeight="1" x14ac:dyDescent="0.35">
      <c r="A31" s="128" t="s">
        <v>232</v>
      </c>
      <c r="B31" s="138" t="str">
        <f>профиль!B18</f>
        <v>Қозғалыс арқылы оқыту: заттармен ойындар, жаттығулар, белсенді тапсырмалар.</v>
      </c>
      <c r="C31" s="135"/>
    </row>
    <row r="32" spans="1:3" ht="6" customHeight="1" x14ac:dyDescent="0.35">
      <c r="A32" s="132"/>
      <c r="B32" s="132"/>
      <c r="C32" s="132"/>
    </row>
    <row r="33" spans="1:3" ht="30" customHeight="1" x14ac:dyDescent="0.35">
      <c r="A33" s="139" t="s">
        <v>254</v>
      </c>
      <c r="B33" s="133" t="s">
        <v>255</v>
      </c>
      <c r="C33" s="133" t="s">
        <v>256</v>
      </c>
    </row>
    <row r="34" spans="1:3" ht="27.75" customHeight="1" x14ac:dyDescent="0.35">
      <c r="A34" s="128" t="s">
        <v>257</v>
      </c>
      <c r="B34" s="140" t="str">
        <f ca="1">'ДАМУ ЖОСПАРЫ'!B13</f>
        <v>Қарынға домалау</v>
      </c>
      <c r="C34" s="140" t="str">
        <f ca="1">'ДАМУ ЖОСПАРЫ'!C13</f>
        <v>ұстау</v>
      </c>
    </row>
    <row r="35" spans="1:3" ht="27.75" customHeight="1" x14ac:dyDescent="0.35">
      <c r="A35" s="128" t="s">
        <v>258</v>
      </c>
      <c r="B35" s="140" t="str">
        <f ca="1">'ДАМУ ЖОСПАРЫ'!B14</f>
        <v>Фитбол үстінде орналасу</v>
      </c>
      <c r="C35" s="140" t="str">
        <f ca="1">'ДАМУ ЖОСПАРЫ'!C14</f>
        <v>жамбас арқылы көмек</v>
      </c>
    </row>
    <row r="36" spans="1:3" ht="27.75" customHeight="1" x14ac:dyDescent="0.35">
      <c r="A36" s="128" t="s">
        <v>259</v>
      </c>
      <c r="B36" s="140" t="str">
        <f ca="1">'ДАМУ ЖОСПАРЫ'!B15</f>
        <v>Басты ұстау</v>
      </c>
      <c r="C36" s="140" t="str">
        <f ca="1">'ДАМУ ЖОСПАРЫ'!C15</f>
        <v>иық арқылы</v>
      </c>
    </row>
    <row r="37" spans="1:3" ht="27.75" customHeight="1" x14ac:dyDescent="0.35">
      <c r="A37" s="128" t="s">
        <v>260</v>
      </c>
      <c r="B37" s="140" t="str">
        <f ca="1">'ДАМУ ЖОСПАРЫ'!B16</f>
        <v>Жанқабатқа домалау</v>
      </c>
      <c r="C37" s="140" t="str">
        <f ca="1">'ДАМУ ЖОСПАРЫ'!C16</f>
        <v>көмекпен</v>
      </c>
    </row>
    <row r="38" spans="1:3" ht="27.75" customHeight="1" x14ac:dyDescent="0.35">
      <c r="A38" s="128" t="s">
        <v>261</v>
      </c>
      <c r="B38" s="140" t="str">
        <f ca="1">'ДАМУ ЖОСПАРЫ'!B17</f>
        <v>Қарынға домалау</v>
      </c>
      <c r="C38" s="140" t="str">
        <f ca="1">'ДАМУ ЖОСПАРЫ'!C17</f>
        <v>ұстау</v>
      </c>
    </row>
    <row r="39" spans="1:3" ht="18.75" customHeight="1" x14ac:dyDescent="0.35">
      <c r="A39" s="132"/>
      <c r="B39" s="132"/>
      <c r="C39" s="132"/>
    </row>
    <row r="40" spans="1:3" ht="19.5" customHeight="1" x14ac:dyDescent="0.35">
      <c r="A40" s="141" t="s">
        <v>262</v>
      </c>
      <c r="B40" s="142"/>
      <c r="C40" s="135"/>
    </row>
    <row r="41" spans="1:3" ht="30" customHeight="1" x14ac:dyDescent="0.35">
      <c r="A41" s="143" t="str">
        <f>профиль!L9</f>
        <v>Дамудың орташа деңгейі 0%. Күшті жағы — Дене дамуы. Ең назар аударатын сала — Дене дамуы. Салалар арасындағы айырмашылық — 0%. Тәуекел деңгейі: Дамудың іркілу қаупі өте жоғары.</v>
      </c>
      <c r="B41" s="135"/>
      <c r="C41" s="135"/>
    </row>
    <row r="42" spans="1:3" ht="19.5" customHeight="1" x14ac:dyDescent="0.35">
      <c r="A42" s="144" t="s">
        <v>263</v>
      </c>
      <c r="B42" s="86"/>
      <c r="C42" s="86"/>
    </row>
    <row r="43" spans="1:3" x14ac:dyDescent="0.35">
      <c r="A43" s="145" t="s">
        <v>15</v>
      </c>
      <c r="B43" s="146"/>
      <c r="C43" s="146"/>
    </row>
    <row r="44" spans="1:3" x14ac:dyDescent="0.35">
      <c r="A44" s="87"/>
      <c r="B44" s="87"/>
      <c r="C44" s="87"/>
    </row>
  </sheetData>
  <sheetProtection algorithmName="SHA-512" hashValue="cr14PRZVxNxBr11Q6Ru7SiOB1cBXKJfhZ7u/Zjv+OKOtfwdIsJD7sBEsTidyZ2L9Xwb1IVqQ3EPA2YqisftKDw==" saltValue="2GyyMDLshk/PoNOunK481Q==" spinCount="100000" sheet="1" objects="1" scenarios="1" selectLockedCells="1"/>
  <mergeCells count="11">
    <mergeCell ref="A1:C1"/>
    <mergeCell ref="B28:C28"/>
    <mergeCell ref="B31:C31"/>
    <mergeCell ref="B40:C40"/>
    <mergeCell ref="B27:C27"/>
    <mergeCell ref="B8:C8"/>
    <mergeCell ref="A42:C42"/>
    <mergeCell ref="B30:C30"/>
    <mergeCell ref="A41:C41"/>
    <mergeCell ref="B2:C2"/>
    <mergeCell ref="B29:C29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E46C0A"/>
  </sheetPr>
  <dimension ref="A1:L33"/>
  <sheetViews>
    <sheetView zoomScaleNormal="100" workbookViewId="0">
      <selection sqref="A1:G33"/>
    </sheetView>
  </sheetViews>
  <sheetFormatPr defaultColWidth="8.7265625" defaultRowHeight="14.5" x14ac:dyDescent="0.35"/>
  <cols>
    <col min="1" max="1" width="13.453125" style="1" customWidth="1"/>
    <col min="2" max="2" width="18" style="1" customWidth="1"/>
    <col min="3" max="3" width="24.26953125" style="1" customWidth="1"/>
    <col min="4" max="4" width="16.7265625" style="1" customWidth="1"/>
    <col min="6" max="6" width="13.54296875" style="1" customWidth="1"/>
    <col min="7" max="7" width="11.7265625" style="1" customWidth="1"/>
  </cols>
  <sheetData>
    <row r="1" spans="1:12" ht="15" customHeight="1" x14ac:dyDescent="0.35">
      <c r="A1" s="147" t="s">
        <v>264</v>
      </c>
      <c r="B1" s="147"/>
      <c r="C1" s="147"/>
      <c r="D1" s="147"/>
      <c r="E1" s="87"/>
      <c r="F1" s="87"/>
      <c r="G1" s="87"/>
    </row>
    <row r="2" spans="1:12" ht="37.5" customHeight="1" x14ac:dyDescent="0.35">
      <c r="A2" s="148" t="s">
        <v>265</v>
      </c>
      <c r="B2" s="148" t="s">
        <v>266</v>
      </c>
      <c r="C2" s="148" t="s">
        <v>230</v>
      </c>
      <c r="D2" s="148" t="s">
        <v>267</v>
      </c>
      <c r="E2" s="148" t="s">
        <v>248</v>
      </c>
      <c r="F2" s="148" t="s">
        <v>268</v>
      </c>
      <c r="G2" s="148" t="s">
        <v>269</v>
      </c>
      <c r="H2" s="21"/>
      <c r="I2" s="21"/>
      <c r="J2" s="21"/>
      <c r="K2" s="21"/>
      <c r="L2" s="21"/>
    </row>
    <row r="3" spans="1:12" ht="25.5" customHeight="1" x14ac:dyDescent="0.35">
      <c r="A3" s="148" t="s">
        <v>270</v>
      </c>
      <c r="B3" s="148" t="str">
        <f>профиль!B15</f>
        <v>Дене дамуы</v>
      </c>
      <c r="C3" s="148" t="str">
        <f>VLOOKUP(B3,ҰСЫНЫМДАР!A:D,4,FALSE())</f>
        <v>Ұсынылады: ЛФК кеңесі</v>
      </c>
      <c r="D3" s="148" t="str">
        <f>"Күн сайын 10–15 минут"</f>
        <v>Күн сайын 10–15 минут</v>
      </c>
      <c r="E3" s="148" t="str">
        <f>профиль!$B$22</f>
        <v>базалық</v>
      </c>
      <c r="F3" s="148" t="str">
        <f t="array" aca="1" ref="F3" ca="1">IFERROR(INDEX(ЖАТТЫҒУЛАР!C$2:C$166,SMALL(IF((ЖАТТЫҒУЛАР!A$2:A$166=B3)*(ЖАТТЫҒУЛАР!B$2:B$166=профиль!$B$22),ROW(ЖАТТЫҒУЛАР!A$2:A$166)-ROW(ЖАТТЫҒУЛАР!A$2)+1),RANDBETWEEN(1,MAX(1,COUNTIFS(ЖАТТЫҒУЛАР!A$2:A$166,B3,ЖАТТЫҒУЛАР!B$2:B$166,профиль!$B$22))))),"Нет упражнения")</f>
        <v>Басты ұстау</v>
      </c>
      <c r="G3" s="148" t="str">
        <f t="array" aca="1" ref="G3" ca="1">IFERROR(INDEX(ЖАТТЫҒУЛАР!D$2:D$166,SMALL(IF((ЖАТТЫҒУЛАР!A$2:A$166=B3)*(ЖАТТЫҒУЛАР!B$2:B$166=профиль!$B$22),ROW(ЖАТТЫҒУЛАР!A$2:A$166)-ROW(ЖАТТЫҒУЛАР!A$2)+1),RANDBETWEEN(1,MAX(1,COUNTIFS(ЖАТТЫҒУЛАР!A$2:A$166,B3,ЖАТТЫҒУЛАР!B$2:B$166,профиль!$B$22))))),"—")</f>
        <v>корпусты ұстау</v>
      </c>
      <c r="H3" s="21"/>
      <c r="I3" s="21"/>
      <c r="J3" s="21"/>
      <c r="K3" s="21"/>
      <c r="L3" s="21"/>
    </row>
    <row r="4" spans="1:12" ht="38.25" customHeight="1" x14ac:dyDescent="0.35">
      <c r="A4" s="148" t="s">
        <v>214</v>
      </c>
      <c r="B4" s="148" t="str">
        <f>профиль!B21</f>
        <v>Өзіне-өзі қызмет</v>
      </c>
      <c r="C4" s="148" t="str">
        <f>VLOOKUP(B4,ҰСЫНЫМДАР!A:D,3,FALSE())</f>
        <v>Ұсынылады: дағдыларды жаттықтыру</v>
      </c>
      <c r="D4" s="148" t="str">
        <f>"Аптасына 3–4 рет"</f>
        <v>Аптасына 3–4 рет</v>
      </c>
      <c r="E4" s="148" t="str">
        <f>профиль!$B$22</f>
        <v>базалық</v>
      </c>
      <c r="F4" s="148" t="str">
        <f t="array" aca="1" ref="F4" ca="1">IFERROR(INDEX(ЖАТТЫҒУЛАР!C$2:C$166,SMALL(IF((ЖАТТЫҒУЛАР!A$2:A$166=B4)*(ЖАТТЫҒУЛАР!B$2:B$166=профиль!$B$22),ROW(ЖАТТЫҒУЛАР!A$2:A$166)-ROW(ЖАТТЫҒУЛАР!A$2)+1),RANDBETWEEN(1,MAX(1,COUNTIFS(ЖАТТЫҒУЛАР!A$2:A$166,B4,ЖАТТЫҒУЛАР!B$2:B$166,профиль!$B$22))))),"Нет упражнения")</f>
        <v>Шұлық шешу</v>
      </c>
      <c r="G4" s="148" t="str">
        <f t="array" aca="1" ref="G4" ca="1">IFERROR(INDEX(ЖАТТЫҒУЛАР!D$2:D$166,SMALL(IF((ЖАТТЫҒУЛАР!A$2:A$166=B4)*(ЖАТТЫҒУЛАР!B$2:B$166=профиль!$B$22),ROW(ЖАТТЫҒУЛАР!A$2:A$166)-ROW(ЖАТТЫҒУЛАР!A$2)+1),RANDBETWEEN(1,MAX(1,COUNTIFS(ЖАТТЫҒУЛАР!A$2:A$166,B4,ЖАТТЫҒУЛАР!B$2:B$166,профиль!$B$22))))),"—")</f>
        <v>тіреумен</v>
      </c>
      <c r="H4" s="21"/>
      <c r="I4" s="21"/>
      <c r="J4" s="21"/>
      <c r="K4" s="21"/>
      <c r="L4" s="21"/>
    </row>
    <row r="5" spans="1:12" ht="39" customHeight="1" x14ac:dyDescent="0.35">
      <c r="A5" s="148" t="s">
        <v>271</v>
      </c>
      <c r="B5" s="148" t="str">
        <f>профиль!B11</f>
        <v>Дене дамуы</v>
      </c>
      <c r="C5" s="148" t="str">
        <f>VLOOKUP(B5,ҰСЫНЫМДАР!A:D,2,FALSE())</f>
        <v>Ұсынылады: көбірек қозғалмалы ойындар</v>
      </c>
      <c r="D5" s="148" t="str">
        <f>"Ойындар арқылы қолдау (дамыту)"</f>
        <v>Ойындар арқылы қолдау (дамыту)</v>
      </c>
      <c r="E5" s="148" t="str">
        <f>профиль!$B$22</f>
        <v>базалық</v>
      </c>
      <c r="F5" s="148" t="str">
        <f t="array" aca="1" ref="F5" ca="1">IFERROR(INDEX(ЖАТТЫҒУЛАР!C$2:C$166,SMALL(IF((ЖАТТЫҒУЛАР!A$2:A$166=B5)*(ЖАТТЫҒУЛАР!B$2:B$166=профиль!$B$22),ROW(ЖАТТЫҒУЛАР!A$2:A$166)-ROW(ЖАТТЫҒУЛАР!A$2)+1),RANDBETWEEN(1,MAX(1,COUNTIFS(ЖАТТЫҒУЛАР!A$2:A$166,B5,ЖАТТЫҒУЛАР!B$2:B$166,профиль!$B$22))))),"Нет упражнения")</f>
        <v>Тіреумен жорғалау</v>
      </c>
      <c r="G5" s="148" t="str">
        <f t="array" aca="1" ref="G5" ca="1">IFERROR(INDEX(ЖАТТЫҒУЛАР!D$2:D$166,SMALL(IF((ЖАТТЫҒУЛАР!A$2:A$166=B5)*(ЖАТТЫҒУЛАР!B$2:B$166=профиль!$B$22),ROW(ЖАТТЫҒУЛАР!A$2:A$166)-ROW(ЖАТТЫҒУЛАР!A$2)+1),RANDBETWEEN(1,MAX(1,COUNTIFS(ЖАТТЫҒУЛАР!A$2:A$166,B5,ЖАТТЫҒУЛАР!B$2:B$166,профиль!$B$22))))),"—")</f>
        <v>иық арқылы</v>
      </c>
      <c r="H5" s="21"/>
      <c r="I5" s="21"/>
      <c r="J5" s="21"/>
      <c r="K5" s="21"/>
      <c r="L5" s="21"/>
    </row>
    <row r="6" spans="1:12" ht="15" customHeight="1" x14ac:dyDescent="0.35">
      <c r="A6" s="148"/>
      <c r="B6" s="148"/>
      <c r="C6" s="148"/>
      <c r="D6" s="148"/>
      <c r="E6" s="94"/>
      <c r="F6" s="94"/>
      <c r="G6" s="94"/>
      <c r="H6" s="21"/>
      <c r="I6" s="21"/>
      <c r="J6" s="21"/>
      <c r="K6" s="21"/>
      <c r="L6" s="21"/>
    </row>
    <row r="7" spans="1:12" s="24" customFormat="1" ht="15" customHeight="1" x14ac:dyDescent="0.35">
      <c r="A7" s="149" t="str">
        <f>"Баланы ойын және күнделікті тұрмыс жағдайлары арқылы дамытуға күніне 20–30 минут бөлу ұсынылады."</f>
        <v>Баланы ойын және күнделікті тұрмыс жағдайлары арқылы дамытуға күніне 20–30 минут бөлу ұсынылады.</v>
      </c>
      <c r="B7" s="150"/>
      <c r="C7" s="150"/>
      <c r="D7" s="150"/>
      <c r="E7" s="151"/>
      <c r="F7" s="151"/>
      <c r="G7" s="152"/>
      <c r="H7" s="25"/>
      <c r="I7" s="25"/>
      <c r="J7" s="25"/>
      <c r="K7" s="25"/>
      <c r="L7" s="25"/>
    </row>
    <row r="8" spans="1:12" ht="15" customHeight="1" x14ac:dyDescent="0.35">
      <c r="A8" s="148"/>
      <c r="B8" s="148"/>
      <c r="C8" s="148"/>
      <c r="D8" s="148"/>
      <c r="E8" s="94"/>
      <c r="F8" s="94"/>
      <c r="G8" s="94"/>
      <c r="H8" s="21"/>
      <c r="I8" s="21"/>
      <c r="J8" s="21"/>
      <c r="K8" s="21"/>
      <c r="L8" s="21"/>
    </row>
    <row r="9" spans="1:12" ht="25.5" customHeight="1" x14ac:dyDescent="0.35">
      <c r="A9" s="148"/>
      <c r="B9" s="148"/>
      <c r="C9" s="148"/>
      <c r="D9" s="148"/>
      <c r="E9" s="94"/>
      <c r="F9" s="94"/>
      <c r="G9" s="94"/>
      <c r="H9" s="21"/>
      <c r="I9" s="21"/>
      <c r="J9" s="21"/>
      <c r="K9" s="21"/>
      <c r="L9" s="21"/>
    </row>
    <row r="10" spans="1:12" ht="15" customHeight="1" x14ac:dyDescent="0.35">
      <c r="A10" s="148"/>
      <c r="B10" s="148"/>
      <c r="C10" s="148"/>
      <c r="D10" s="148"/>
      <c r="E10" s="94"/>
      <c r="F10" s="94"/>
      <c r="G10" s="94"/>
      <c r="H10" s="21"/>
      <c r="I10" s="21"/>
      <c r="J10" s="21"/>
      <c r="K10" s="21"/>
      <c r="L10" s="21"/>
    </row>
    <row r="11" spans="1:12" ht="27.75" customHeight="1" x14ac:dyDescent="0.35">
      <c r="A11" s="153" t="s">
        <v>272</v>
      </c>
      <c r="B11" s="148"/>
      <c r="C11" s="148"/>
      <c r="D11" s="148"/>
      <c r="E11" s="94"/>
      <c r="F11" s="94"/>
      <c r="G11" s="94"/>
      <c r="H11" s="21"/>
      <c r="I11" s="21"/>
      <c r="J11" s="21"/>
      <c r="K11" s="21"/>
      <c r="L11" s="21"/>
    </row>
    <row r="12" spans="1:12" ht="27.75" customHeight="1" x14ac:dyDescent="0.35">
      <c r="A12" s="154" t="s">
        <v>273</v>
      </c>
      <c r="B12" s="155" t="s">
        <v>255</v>
      </c>
      <c r="C12" s="155" t="s">
        <v>256</v>
      </c>
      <c r="D12" s="148"/>
      <c r="E12" s="94"/>
      <c r="F12" s="94"/>
      <c r="G12" s="94"/>
      <c r="H12" s="21"/>
      <c r="I12" s="21"/>
      <c r="J12" s="21"/>
      <c r="K12" s="21"/>
      <c r="L12" s="21"/>
    </row>
    <row r="13" spans="1:12" ht="15" customHeight="1" x14ac:dyDescent="0.35">
      <c r="A13" s="148" t="s">
        <v>257</v>
      </c>
      <c r="B13" s="148" t="str">
        <f t="array" aca="1" ref="B13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Қарынға домалау</v>
      </c>
      <c r="C13" s="148" t="str">
        <f t="array" aca="1" ref="C13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ұстау</v>
      </c>
      <c r="D13" s="148"/>
      <c r="E13" s="94"/>
      <c r="F13" s="94"/>
      <c r="G13" s="94"/>
      <c r="H13" s="21"/>
      <c r="I13" s="21"/>
      <c r="J13" s="21"/>
      <c r="K13" s="21"/>
      <c r="L13" s="21"/>
    </row>
    <row r="14" spans="1:12" ht="15" customHeight="1" x14ac:dyDescent="0.35">
      <c r="A14" s="148" t="s">
        <v>258</v>
      </c>
      <c r="B14" s="148" t="str">
        <f t="array" aca="1" ref="B14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Фитбол үстінде орналасу</v>
      </c>
      <c r="C14" s="148" t="str">
        <f t="array" aca="1" ref="C14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жамбас арқылы көмек</v>
      </c>
      <c r="D14" s="94"/>
      <c r="E14" s="94"/>
      <c r="F14" s="94"/>
      <c r="G14" s="94"/>
      <c r="H14" s="21"/>
      <c r="I14" s="21"/>
      <c r="J14" s="21"/>
      <c r="K14" s="21"/>
      <c r="L14" s="21"/>
    </row>
    <row r="15" spans="1:12" ht="27.75" customHeight="1" x14ac:dyDescent="0.35">
      <c r="A15" s="148" t="s">
        <v>259</v>
      </c>
      <c r="B15" s="148" t="str">
        <f t="array" aca="1" ref="B15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Басты ұстау</v>
      </c>
      <c r="C15" s="148" t="str">
        <f t="array" aca="1" ref="C15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иық арқылы</v>
      </c>
      <c r="D15" s="94"/>
      <c r="E15" s="94"/>
      <c r="F15" s="94"/>
      <c r="G15" s="94"/>
      <c r="H15" s="21"/>
      <c r="I15" s="21"/>
      <c r="J15" s="21"/>
      <c r="K15" s="21"/>
      <c r="L15" s="21"/>
    </row>
    <row r="16" spans="1:12" ht="27.75" customHeight="1" x14ac:dyDescent="0.35">
      <c r="A16" s="148" t="s">
        <v>260</v>
      </c>
      <c r="B16" s="148" t="str">
        <f t="array" aca="1" ref="B16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Жанқабатқа домалау</v>
      </c>
      <c r="C16" s="148" t="str">
        <f t="array" aca="1" ref="C16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көмекпен</v>
      </c>
      <c r="D16" s="94"/>
      <c r="E16" s="94"/>
      <c r="F16" s="94"/>
      <c r="G16" s="94"/>
      <c r="H16" s="21"/>
      <c r="I16" s="21"/>
      <c r="J16" s="21"/>
      <c r="K16" s="21"/>
      <c r="L16" s="21"/>
    </row>
    <row r="17" spans="1:12" ht="15" customHeight="1" x14ac:dyDescent="0.35">
      <c r="A17" s="148" t="s">
        <v>261</v>
      </c>
      <c r="B17" s="148" t="str">
        <f t="array" aca="1" ref="B17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Қарынға домалау</v>
      </c>
      <c r="C17" s="148" t="str">
        <f t="array" aca="1" ref="C17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ұстау</v>
      </c>
      <c r="D17" s="94"/>
      <c r="E17" s="94"/>
      <c r="F17" s="94"/>
      <c r="G17" s="94"/>
      <c r="H17" s="21"/>
      <c r="I17" s="21"/>
      <c r="J17" s="21"/>
      <c r="K17" s="21"/>
      <c r="L17" s="21"/>
    </row>
    <row r="18" spans="1:12" ht="15" customHeight="1" x14ac:dyDescent="0.35">
      <c r="A18" s="94"/>
      <c r="B18" s="94"/>
      <c r="C18" s="94"/>
      <c r="D18" s="94"/>
      <c r="E18" s="94"/>
      <c r="F18" s="94"/>
      <c r="G18" s="94"/>
      <c r="H18" s="21"/>
      <c r="I18" s="21"/>
      <c r="J18" s="21"/>
      <c r="K18" s="21"/>
      <c r="L18" s="21"/>
    </row>
    <row r="19" spans="1:12" ht="15" customHeight="1" x14ac:dyDescent="0.35">
      <c r="A19" s="94"/>
      <c r="B19" s="94"/>
      <c r="C19" s="94"/>
      <c r="D19" s="94"/>
      <c r="E19" s="94"/>
      <c r="F19" s="94"/>
      <c r="G19" s="94"/>
      <c r="H19" s="21"/>
      <c r="I19" s="21"/>
      <c r="J19" s="21"/>
      <c r="K19" s="21"/>
      <c r="L19" s="21"/>
    </row>
    <row r="20" spans="1:12" ht="27.75" customHeight="1" x14ac:dyDescent="0.35">
      <c r="A20" s="153" t="s">
        <v>274</v>
      </c>
      <c r="B20" s="94"/>
      <c r="C20" s="94"/>
      <c r="D20" s="94"/>
      <c r="E20" s="94"/>
      <c r="F20" s="94"/>
      <c r="G20" s="94"/>
      <c r="H20" s="21"/>
      <c r="I20" s="21"/>
      <c r="J20" s="21"/>
      <c r="K20" s="21"/>
      <c r="L20" s="21"/>
    </row>
    <row r="21" spans="1:12" ht="27.75" customHeight="1" x14ac:dyDescent="0.35">
      <c r="A21" s="154" t="s">
        <v>275</v>
      </c>
      <c r="B21" s="155" t="s">
        <v>255</v>
      </c>
      <c r="C21" s="155" t="s">
        <v>256</v>
      </c>
      <c r="D21" s="94"/>
      <c r="E21" s="94"/>
      <c r="F21" s="94"/>
      <c r="G21" s="94"/>
      <c r="H21" s="21"/>
      <c r="I21" s="21"/>
      <c r="J21" s="21"/>
      <c r="K21" s="21"/>
      <c r="L21" s="21"/>
    </row>
    <row r="22" spans="1:12" ht="15" customHeight="1" x14ac:dyDescent="0.35">
      <c r="A22" s="87" t="s">
        <v>276</v>
      </c>
      <c r="B22" s="87" t="str">
        <f t="array" aca="1" ref="B22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Ойыншыққа жорғалау</v>
      </c>
      <c r="C22" s="87" t="str">
        <f t="array" aca="1" ref="C22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көмекпен</v>
      </c>
      <c r="D22" s="87"/>
      <c r="E22" s="87"/>
      <c r="F22" s="87"/>
      <c r="G22" s="87"/>
    </row>
    <row r="23" spans="1:12" ht="15" customHeight="1" x14ac:dyDescent="0.35">
      <c r="A23" s="87" t="s">
        <v>277</v>
      </c>
      <c r="B23" s="87" t="str">
        <f t="array" aca="1" ref="B23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Төрт аяқта тұру</v>
      </c>
      <c r="C23" s="87" t="str">
        <f t="array" aca="1" ref="C23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ынталандыру алға</v>
      </c>
      <c r="D23" s="87"/>
      <c r="E23" s="87"/>
      <c r="F23" s="87"/>
      <c r="G23" s="87"/>
    </row>
    <row r="24" spans="1:12" ht="15" customHeight="1" x14ac:dyDescent="0.35">
      <c r="A24" s="87" t="s">
        <v>278</v>
      </c>
      <c r="B24" s="87" t="str">
        <f t="array" aca="1" ref="B24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Фитбол үстінде орналасу</v>
      </c>
      <c r="C24" s="87" t="str">
        <f t="array" aca="1" ref="C24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жамбас арқылы көмек</v>
      </c>
      <c r="D24" s="87"/>
      <c r="E24" s="87"/>
      <c r="F24" s="87"/>
      <c r="G24" s="87"/>
    </row>
    <row r="25" spans="1:12" ht="15" customHeight="1" x14ac:dyDescent="0.35">
      <c r="A25" s="87" t="s">
        <v>279</v>
      </c>
      <c r="B25" s="87" t="str">
        <f t="array" aca="1" ref="B25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Шынтаққа көтерілу</v>
      </c>
      <c r="C25" s="87" t="str">
        <f t="array" aca="1" ref="C25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қолдарға сүйену</v>
      </c>
      <c r="D25" s="87"/>
      <c r="E25" s="87"/>
      <c r="F25" s="87"/>
      <c r="G25" s="87"/>
    </row>
    <row r="26" spans="1:12" ht="15" customHeight="1" x14ac:dyDescent="0.35">
      <c r="A26" s="87" t="s">
        <v>280</v>
      </c>
      <c r="B26" s="87" t="str">
        <f t="array" aca="1" ref="B26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Тіреумен жорғалау</v>
      </c>
      <c r="C26" s="87" t="str">
        <f t="array" aca="1" ref="C26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аяқтарды көмек</v>
      </c>
      <c r="D26" s="87"/>
      <c r="E26" s="87"/>
      <c r="F26" s="87"/>
      <c r="G26" s="87"/>
    </row>
    <row r="27" spans="1:12" ht="15" customHeight="1" x14ac:dyDescent="0.35">
      <c r="A27" s="87" t="s">
        <v>281</v>
      </c>
      <c r="B27" s="87" t="str">
        <f t="array" aca="1" ref="B27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Қарынға домалау</v>
      </c>
      <c r="C27" s="87" t="str">
        <f t="array" aca="1" ref="C27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ұстау</v>
      </c>
      <c r="D27" s="87"/>
      <c r="E27" s="87"/>
      <c r="F27" s="87"/>
      <c r="G27" s="87"/>
    </row>
    <row r="28" spans="1:12" ht="15" customHeight="1" x14ac:dyDescent="0.35">
      <c r="A28" s="87" t="s">
        <v>282</v>
      </c>
      <c r="B28" s="87" t="str">
        <f t="array" aca="1" ref="B28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Ойыншыққа жорғалау</v>
      </c>
      <c r="C28" s="87" t="str">
        <f t="array" aca="1" ref="C28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иық арқылы</v>
      </c>
      <c r="D28" s="87"/>
      <c r="E28" s="87"/>
      <c r="F28" s="87"/>
      <c r="G28" s="87"/>
    </row>
    <row r="29" spans="1:12" ht="15" customHeight="1" x14ac:dyDescent="0.35">
      <c r="A29" s="87" t="s">
        <v>283</v>
      </c>
      <c r="B29" s="87" t="str">
        <f t="array" aca="1" ref="B29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Фитбол үстінде орналасу</v>
      </c>
      <c r="C29" s="87" t="str">
        <f t="array" aca="1" ref="C29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корпусты ұстау</v>
      </c>
      <c r="D29" s="87"/>
      <c r="E29" s="87"/>
      <c r="F29" s="87"/>
      <c r="G29" s="87"/>
    </row>
    <row r="30" spans="1:12" ht="15" customHeight="1" x14ac:dyDescent="0.35">
      <c r="A30" s="87" t="s">
        <v>284</v>
      </c>
      <c r="B30" s="87" t="str">
        <f t="array" aca="1" ref="B30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Басты ұстау</v>
      </c>
      <c r="C30" s="87" t="str">
        <f t="array" aca="1" ref="C30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ұстау</v>
      </c>
      <c r="D30" s="87"/>
      <c r="E30" s="87"/>
      <c r="F30" s="87"/>
      <c r="G30" s="87"/>
    </row>
    <row r="31" spans="1:12" ht="15" customHeight="1" x14ac:dyDescent="0.35">
      <c r="A31" s="87" t="s">
        <v>285</v>
      </c>
      <c r="B31" s="87" t="str">
        <f t="array" aca="1" ref="B31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Басты ұстау</v>
      </c>
      <c r="C31" s="87" t="str">
        <f t="array" aca="1" ref="C31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қолдарға сүйену</v>
      </c>
      <c r="D31" s="87"/>
      <c r="E31" s="87"/>
      <c r="F31" s="87"/>
      <c r="G31" s="87"/>
    </row>
    <row r="32" spans="1:12" ht="15" customHeight="1" x14ac:dyDescent="0.35">
      <c r="A32" s="87" t="s">
        <v>286</v>
      </c>
      <c r="B32" s="87" t="str">
        <f t="array" aca="1" ref="B32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Жатып аяқты көтеру</v>
      </c>
      <c r="C32" s="87" t="str">
        <f t="array" aca="1" ref="C32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корпусты ұстау</v>
      </c>
      <c r="D32" s="87"/>
      <c r="E32" s="87"/>
      <c r="F32" s="87"/>
      <c r="G32" s="87"/>
    </row>
    <row r="33" spans="1:7" ht="15" customHeight="1" x14ac:dyDescent="0.35">
      <c r="A33" s="87" t="s">
        <v>287</v>
      </c>
      <c r="B33" s="87" t="str">
        <f t="array" aca="1" ref="B33" ca="1">IFERROR(INDEX(ЖАТТЫҒУЛАР!C$2:C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Нет упражнения")</f>
        <v>Төрт аяқта тербелу</v>
      </c>
      <c r="C33" s="87" t="str">
        <f t="array" aca="1" ref="C33" ca="1">IFERROR(INDEX(ЖАТТЫҒУЛАР!D$2:D$166,SMALL(IF((ЖАТТЫҒУЛАР!A$2:A$166=профиль!$B$15)*(ЖАТТЫҒУЛАР!B$2:B$166=профиль!$B$22),ROW(ЖАТТЫҒУЛАР!A$2:A$166)-ROW(ЖАТТЫҒУЛАР!A$2)+1),RANDBETWEEN(1,MAX(1,COUNTIFS(ЖАТТЫҒУЛАР!A$2:A$166,профиль!$B$15,ЖАТТЫҒУЛАР!B$2:B$166,профиль!$B$22))))),"—")</f>
        <v>аяқтарды көмек</v>
      </c>
      <c r="D33" s="87"/>
      <c r="E33" s="87"/>
      <c r="F33" s="87"/>
      <c r="G33" s="87"/>
    </row>
  </sheetData>
  <sheetProtection algorithmName="SHA-512" hashValue="MvNBUt0tJfa0MWPWM0r78lLcGf1PKcj/XZtgWZbfsY+px1QWR1ybWJAPIYZ1ZyD8syW6vWcuM+ujHH/b2kXi7w==" saltValue="WXExS4RwbZC04n+NcVYdCQ==" spinCount="100000" sheet="1" objects="1" scenarios="1" select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Қайта сату тыйым салынған&amp;R&amp;8 Стр.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6A6A6"/>
  </sheetPr>
  <dimension ref="A1:G329"/>
  <sheetViews>
    <sheetView zoomScaleNormal="100" workbookViewId="0">
      <selection activeCell="F1" sqref="F1:G8"/>
    </sheetView>
  </sheetViews>
  <sheetFormatPr defaultColWidth="8.7265625" defaultRowHeight="14.5" x14ac:dyDescent="0.35"/>
  <cols>
    <col min="1" max="1" width="24.7265625" style="1" customWidth="1"/>
    <col min="4" max="4" width="12.54296875" style="1" customWidth="1"/>
    <col min="6" max="6" width="18.54296875" style="1" customWidth="1"/>
  </cols>
  <sheetData>
    <row r="1" spans="1:7" ht="30" customHeight="1" x14ac:dyDescent="0.35">
      <c r="A1" s="87" t="s">
        <v>59</v>
      </c>
      <c r="B1" s="200" t="s">
        <v>288</v>
      </c>
      <c r="C1" s="87" t="s">
        <v>289</v>
      </c>
      <c r="D1" s="200" t="s">
        <v>290</v>
      </c>
      <c r="F1" s="201" t="s">
        <v>59</v>
      </c>
      <c r="G1" s="202" t="s">
        <v>291</v>
      </c>
    </row>
    <row r="2" spans="1:7" ht="15" customHeight="1" x14ac:dyDescent="0.35">
      <c r="A2" s="87" t="str">
        <f>'0-1'!A10</f>
        <v>Дене дамуы</v>
      </c>
      <c r="B2" s="87">
        <f>'0-1'!G10</f>
        <v>2.5</v>
      </c>
      <c r="C2" s="87">
        <f>'0-1'!F10</f>
        <v>0</v>
      </c>
      <c r="D2" s="87" t="str">
        <f t="shared" ref="D2:D33" si="0">"0-1"</f>
        <v>0-1</v>
      </c>
      <c r="F2" s="87" t="s">
        <v>29</v>
      </c>
      <c r="G2" s="203">
        <v>0.2</v>
      </c>
    </row>
    <row r="3" spans="1:7" ht="15" customHeight="1" x14ac:dyDescent="0.35">
      <c r="A3" s="87" t="str">
        <f>'0-1'!A11</f>
        <v>Дене дамуы</v>
      </c>
      <c r="B3" s="87">
        <f>'0-1'!G11</f>
        <v>2.5</v>
      </c>
      <c r="C3" s="87">
        <f>'0-1'!F11</f>
        <v>0</v>
      </c>
      <c r="D3" s="87" t="str">
        <f t="shared" si="0"/>
        <v>0-1</v>
      </c>
      <c r="F3" s="87" t="s">
        <v>106</v>
      </c>
      <c r="G3" s="203">
        <v>0.15</v>
      </c>
    </row>
    <row r="4" spans="1:7" ht="15" customHeight="1" x14ac:dyDescent="0.35">
      <c r="A4" s="87" t="str">
        <f>'0-1'!A12</f>
        <v>Дене дамуы</v>
      </c>
      <c r="B4" s="87">
        <f>'0-1'!G12</f>
        <v>3.5</v>
      </c>
      <c r="C4" s="87">
        <f>'0-1'!F12</f>
        <v>0</v>
      </c>
      <c r="D4" s="87" t="str">
        <f t="shared" si="0"/>
        <v>0-1</v>
      </c>
      <c r="F4" s="87" t="s">
        <v>31</v>
      </c>
      <c r="G4" s="203">
        <v>0.2</v>
      </c>
    </row>
    <row r="5" spans="1:7" ht="15" customHeight="1" x14ac:dyDescent="0.35">
      <c r="A5" s="87" t="str">
        <f>'0-1'!A13</f>
        <v>Дене дамуы</v>
      </c>
      <c r="B5" s="87">
        <f>'0-1'!G13</f>
        <v>4.5</v>
      </c>
      <c r="C5" s="87">
        <f>'0-1'!F13</f>
        <v>0</v>
      </c>
      <c r="D5" s="87" t="str">
        <f t="shared" si="0"/>
        <v>0-1</v>
      </c>
      <c r="F5" s="87" t="s">
        <v>32</v>
      </c>
      <c r="G5" s="203">
        <v>0.15</v>
      </c>
    </row>
    <row r="6" spans="1:7" ht="15" customHeight="1" x14ac:dyDescent="0.35">
      <c r="A6" s="87" t="str">
        <f>'0-1'!A14</f>
        <v>Дене дамуы</v>
      </c>
      <c r="B6" s="87">
        <f>'0-1'!G14</f>
        <v>3.5</v>
      </c>
      <c r="C6" s="87">
        <f>'0-1'!F14</f>
        <v>0</v>
      </c>
      <c r="D6" s="87" t="str">
        <f t="shared" si="0"/>
        <v>0-1</v>
      </c>
      <c r="F6" s="87" t="s">
        <v>33</v>
      </c>
      <c r="G6" s="203">
        <v>0.1</v>
      </c>
    </row>
    <row r="7" spans="1:7" ht="15" customHeight="1" x14ac:dyDescent="0.35">
      <c r="A7" s="87" t="str">
        <f>'0-1'!A15</f>
        <v>Дене дамуы</v>
      </c>
      <c r="B7" s="87">
        <f>'0-1'!G15</f>
        <v>5.5</v>
      </c>
      <c r="C7" s="87">
        <f>'0-1'!F15</f>
        <v>0</v>
      </c>
      <c r="D7" s="87" t="str">
        <f t="shared" si="0"/>
        <v>0-1</v>
      </c>
      <c r="F7" s="87" t="s">
        <v>34</v>
      </c>
      <c r="G7" s="203">
        <v>0.1</v>
      </c>
    </row>
    <row r="8" spans="1:7" ht="15" customHeight="1" x14ac:dyDescent="0.35">
      <c r="A8" s="87" t="str">
        <f>'0-1'!A16</f>
        <v>Дене дамуы</v>
      </c>
      <c r="B8" s="87">
        <f>'0-1'!G16</f>
        <v>6.5</v>
      </c>
      <c r="C8" s="87">
        <f>'0-1'!F16</f>
        <v>0</v>
      </c>
      <c r="D8" s="87" t="str">
        <f t="shared" si="0"/>
        <v>0-1</v>
      </c>
      <c r="F8" s="87" t="s">
        <v>35</v>
      </c>
      <c r="G8" s="203">
        <v>0.1</v>
      </c>
    </row>
    <row r="9" spans="1:7" ht="15" customHeight="1" x14ac:dyDescent="0.35">
      <c r="A9" s="87" t="str">
        <f>'0-1'!A17</f>
        <v>Дене дамуы</v>
      </c>
      <c r="B9" s="87">
        <f>'0-1'!G17</f>
        <v>8</v>
      </c>
      <c r="C9" s="87">
        <f>'0-1'!F17</f>
        <v>0</v>
      </c>
      <c r="D9" s="87" t="str">
        <f t="shared" si="0"/>
        <v>0-1</v>
      </c>
    </row>
    <row r="10" spans="1:7" ht="15" customHeight="1" x14ac:dyDescent="0.35">
      <c r="A10" s="87" t="str">
        <f>'0-1'!A18</f>
        <v>Дене дамуы</v>
      </c>
      <c r="B10" s="87">
        <f>'0-1'!G18</f>
        <v>7</v>
      </c>
      <c r="C10" s="87">
        <f>'0-1'!F18</f>
        <v>0</v>
      </c>
      <c r="D10" s="87" t="str">
        <f t="shared" si="0"/>
        <v>0-1</v>
      </c>
    </row>
    <row r="11" spans="1:7" ht="15" customHeight="1" x14ac:dyDescent="0.35">
      <c r="A11" s="87" t="str">
        <f>'0-1'!A19</f>
        <v>Дене дамуы</v>
      </c>
      <c r="B11" s="87">
        <f>'0-1'!G19</f>
        <v>8.5</v>
      </c>
      <c r="C11" s="87">
        <f>'0-1'!F19</f>
        <v>0</v>
      </c>
      <c r="D11" s="87" t="str">
        <f t="shared" si="0"/>
        <v>0-1</v>
      </c>
    </row>
    <row r="12" spans="1:7" ht="15" customHeight="1" x14ac:dyDescent="0.35">
      <c r="A12" s="87" t="str">
        <f>'0-1'!A20</f>
        <v>Дене дамуы</v>
      </c>
      <c r="B12" s="87">
        <f>'0-1'!G20</f>
        <v>10</v>
      </c>
      <c r="C12" s="87">
        <f>'0-1'!F20</f>
        <v>0</v>
      </c>
      <c r="D12" s="87" t="str">
        <f t="shared" si="0"/>
        <v>0-1</v>
      </c>
    </row>
    <row r="13" spans="1:7" ht="15" customHeight="1" x14ac:dyDescent="0.35">
      <c r="A13" s="87" t="str">
        <f>'0-1'!A21</f>
        <v>Дене дамуы</v>
      </c>
      <c r="B13" s="87">
        <f>'0-1'!G21</f>
        <v>10.5</v>
      </c>
      <c r="C13" s="87">
        <f>'0-1'!F21</f>
        <v>0</v>
      </c>
      <c r="D13" s="87" t="str">
        <f t="shared" si="0"/>
        <v>0-1</v>
      </c>
    </row>
    <row r="14" spans="1:7" ht="15" customHeight="1" x14ac:dyDescent="0.35">
      <c r="A14" s="87" t="str">
        <f>'0-1'!A22</f>
        <v>Дене дамуы</v>
      </c>
      <c r="B14" s="87">
        <f>'0-1'!G22</f>
        <v>12</v>
      </c>
      <c r="C14" s="87">
        <f>'0-1'!F22</f>
        <v>0</v>
      </c>
      <c r="D14" s="87" t="str">
        <f t="shared" si="0"/>
        <v>0-1</v>
      </c>
    </row>
    <row r="15" spans="1:7" ht="15" customHeight="1" x14ac:dyDescent="0.35">
      <c r="A15" s="87" t="str">
        <f>'0-1'!A23</f>
        <v>ҰСАҚ МОТОРИКА</v>
      </c>
      <c r="B15" s="87">
        <f>'0-1'!G23</f>
        <v>0</v>
      </c>
      <c r="C15" s="87">
        <f>'0-1'!F23</f>
        <v>0</v>
      </c>
      <c r="D15" s="87" t="str">
        <f t="shared" si="0"/>
        <v>0-1</v>
      </c>
    </row>
    <row r="16" spans="1:7" ht="15" customHeight="1" x14ac:dyDescent="0.35">
      <c r="A16" s="87" t="str">
        <f>'0-1'!A24</f>
        <v>Ұсақ моторика</v>
      </c>
      <c r="B16" s="87">
        <f>'0-1'!G24</f>
        <v>2.5</v>
      </c>
      <c r="C16" s="87">
        <f>'0-1'!F24</f>
        <v>0</v>
      </c>
      <c r="D16" s="87" t="str">
        <f t="shared" si="0"/>
        <v>0-1</v>
      </c>
    </row>
    <row r="17" spans="1:4" ht="15" customHeight="1" x14ac:dyDescent="0.35">
      <c r="A17" s="87" t="str">
        <f>'0-1'!A25</f>
        <v>Ұсақ моторика</v>
      </c>
      <c r="B17" s="87">
        <f>'0-1'!G25</f>
        <v>3.5</v>
      </c>
      <c r="C17" s="87">
        <f>'0-1'!F25</f>
        <v>0</v>
      </c>
      <c r="D17" s="87" t="str">
        <f t="shared" si="0"/>
        <v>0-1</v>
      </c>
    </row>
    <row r="18" spans="1:4" ht="15" customHeight="1" x14ac:dyDescent="0.35">
      <c r="A18" s="87" t="str">
        <f>'0-1'!A26</f>
        <v>Ұсақ моторика</v>
      </c>
      <c r="B18" s="87">
        <f>'0-1'!G26</f>
        <v>3.5</v>
      </c>
      <c r="C18" s="87">
        <f>'0-1'!F26</f>
        <v>0</v>
      </c>
      <c r="D18" s="87" t="str">
        <f t="shared" si="0"/>
        <v>0-1</v>
      </c>
    </row>
    <row r="19" spans="1:4" ht="15" customHeight="1" x14ac:dyDescent="0.35">
      <c r="A19" s="87" t="str">
        <f>'0-1'!A27</f>
        <v>Ұсақ моторика</v>
      </c>
      <c r="B19" s="87">
        <f>'0-1'!G27</f>
        <v>4.5</v>
      </c>
      <c r="C19" s="87">
        <f>'0-1'!F27</f>
        <v>0</v>
      </c>
      <c r="D19" s="87" t="str">
        <f t="shared" si="0"/>
        <v>0-1</v>
      </c>
    </row>
    <row r="20" spans="1:4" ht="15" customHeight="1" x14ac:dyDescent="0.35">
      <c r="A20" s="87" t="str">
        <f>'0-1'!A28</f>
        <v>Ұсақ моторика</v>
      </c>
      <c r="B20" s="87">
        <f>'0-1'!G28</f>
        <v>6.5</v>
      </c>
      <c r="C20" s="87">
        <f>'0-1'!F28</f>
        <v>0</v>
      </c>
      <c r="D20" s="87" t="str">
        <f t="shared" si="0"/>
        <v>0-1</v>
      </c>
    </row>
    <row r="21" spans="1:4" ht="15" customHeight="1" x14ac:dyDescent="0.35">
      <c r="A21" s="87" t="str">
        <f>'0-1'!A29</f>
        <v>Ұсақ моторика</v>
      </c>
      <c r="B21" s="87">
        <f>'0-1'!G29</f>
        <v>7</v>
      </c>
      <c r="C21" s="87">
        <f>'0-1'!F29</f>
        <v>0</v>
      </c>
      <c r="D21" s="87" t="str">
        <f t="shared" si="0"/>
        <v>0-1</v>
      </c>
    </row>
    <row r="22" spans="1:4" ht="15" customHeight="1" x14ac:dyDescent="0.35">
      <c r="A22" s="87" t="str">
        <f>'0-1'!A30</f>
        <v>Ұсақ моторика</v>
      </c>
      <c r="B22" s="87">
        <f>'0-1'!G30</f>
        <v>9.5</v>
      </c>
      <c r="C22" s="87">
        <f>'0-1'!F30</f>
        <v>0</v>
      </c>
      <c r="D22" s="87" t="str">
        <f t="shared" si="0"/>
        <v>0-1</v>
      </c>
    </row>
    <row r="23" spans="1:4" ht="15" customHeight="1" x14ac:dyDescent="0.35">
      <c r="A23" s="87" t="str">
        <f>'0-1'!A31</f>
        <v>Ұсақ моторика</v>
      </c>
      <c r="B23" s="87">
        <f>'0-1'!G31</f>
        <v>11</v>
      </c>
      <c r="C23" s="87">
        <f>'0-1'!F31</f>
        <v>0</v>
      </c>
      <c r="D23" s="87" t="str">
        <f t="shared" si="0"/>
        <v>0-1</v>
      </c>
    </row>
    <row r="24" spans="1:4" ht="15" customHeight="1" x14ac:dyDescent="0.35">
      <c r="A24" s="87" t="str">
        <f>'0-1'!A32</f>
        <v>СЕНСОРЛЫҚ ДАМУ</v>
      </c>
      <c r="B24" s="87">
        <f>'0-1'!G32</f>
        <v>0</v>
      </c>
      <c r="C24" s="87">
        <f>'0-1'!F32</f>
        <v>0</v>
      </c>
      <c r="D24" s="87" t="str">
        <f t="shared" si="0"/>
        <v>0-1</v>
      </c>
    </row>
    <row r="25" spans="1:4" ht="15" customHeight="1" x14ac:dyDescent="0.35">
      <c r="A25" s="87" t="str">
        <f>'0-1'!A33</f>
        <v>Сенсорика</v>
      </c>
      <c r="B25" s="87">
        <f>'0-1'!G33</f>
        <v>1.5</v>
      </c>
      <c r="C25" s="87">
        <f>'0-1'!F33</f>
        <v>0</v>
      </c>
      <c r="D25" s="87" t="str">
        <f t="shared" si="0"/>
        <v>0-1</v>
      </c>
    </row>
    <row r="26" spans="1:4" ht="15" customHeight="1" x14ac:dyDescent="0.35">
      <c r="A26" s="87" t="str">
        <f>'0-1'!A34</f>
        <v>Сенсорика</v>
      </c>
      <c r="B26" s="87">
        <f>'0-1'!G34</f>
        <v>2.5</v>
      </c>
      <c r="C26" s="87">
        <f>'0-1'!F34</f>
        <v>0</v>
      </c>
      <c r="D26" s="87" t="str">
        <f t="shared" si="0"/>
        <v>0-1</v>
      </c>
    </row>
    <row r="27" spans="1:4" ht="15" customHeight="1" x14ac:dyDescent="0.35">
      <c r="A27" s="87" t="str">
        <f>'0-1'!A35</f>
        <v>Сенсорика</v>
      </c>
      <c r="B27" s="87">
        <f>'0-1'!G35</f>
        <v>1.5</v>
      </c>
      <c r="C27" s="87">
        <f>'0-1'!F35</f>
        <v>0</v>
      </c>
      <c r="D27" s="87" t="str">
        <f t="shared" si="0"/>
        <v>0-1</v>
      </c>
    </row>
    <row r="28" spans="1:4" ht="15" customHeight="1" x14ac:dyDescent="0.35">
      <c r="A28" s="87" t="str">
        <f>'0-1'!A36</f>
        <v>Сенсорика</v>
      </c>
      <c r="B28" s="87">
        <f>'0-1'!G36</f>
        <v>3.5</v>
      </c>
      <c r="C28" s="87">
        <f>'0-1'!F36</f>
        <v>0</v>
      </c>
      <c r="D28" s="87" t="str">
        <f t="shared" si="0"/>
        <v>0-1</v>
      </c>
    </row>
    <row r="29" spans="1:4" ht="15" customHeight="1" x14ac:dyDescent="0.35">
      <c r="A29" s="87" t="str">
        <f>'0-1'!A37</f>
        <v>Сенсорика</v>
      </c>
      <c r="B29" s="87">
        <f>'0-1'!G37</f>
        <v>3.5</v>
      </c>
      <c r="C29" s="87">
        <f>'0-1'!F37</f>
        <v>0</v>
      </c>
      <c r="D29" s="87" t="str">
        <f t="shared" si="0"/>
        <v>0-1</v>
      </c>
    </row>
    <row r="30" spans="1:4" ht="15" customHeight="1" x14ac:dyDescent="0.35">
      <c r="A30" s="87" t="str">
        <f>'0-1'!A38</f>
        <v>Сенсорика</v>
      </c>
      <c r="B30" s="87">
        <f>'0-1'!G38</f>
        <v>5</v>
      </c>
      <c r="C30" s="87">
        <f>'0-1'!F38</f>
        <v>0</v>
      </c>
      <c r="D30" s="87" t="str">
        <f t="shared" si="0"/>
        <v>0-1</v>
      </c>
    </row>
    <row r="31" spans="1:4" ht="15" customHeight="1" x14ac:dyDescent="0.35">
      <c r="A31" s="87" t="str">
        <f>'0-1'!A39</f>
        <v>Сенсорика</v>
      </c>
      <c r="B31" s="87">
        <f>'0-1'!G39</f>
        <v>7.5</v>
      </c>
      <c r="C31" s="87">
        <f>'0-1'!F39</f>
        <v>0</v>
      </c>
      <c r="D31" s="87" t="str">
        <f t="shared" si="0"/>
        <v>0-1</v>
      </c>
    </row>
    <row r="32" spans="1:4" ht="15" customHeight="1" x14ac:dyDescent="0.35">
      <c r="A32" s="87" t="str">
        <f>'0-1'!A40</f>
        <v>СӨЙЛЕУ ЖӘНЕ КОММУНИКАЦИЯ</v>
      </c>
      <c r="B32" s="87">
        <f>'0-1'!G40</f>
        <v>0</v>
      </c>
      <c r="C32" s="87">
        <f>'0-1'!F40</f>
        <v>0</v>
      </c>
      <c r="D32" s="87" t="str">
        <f t="shared" si="0"/>
        <v>0-1</v>
      </c>
    </row>
    <row r="33" spans="1:4" ht="15" customHeight="1" x14ac:dyDescent="0.35">
      <c r="A33" s="87" t="str">
        <f>'0-1'!A41</f>
        <v>Сөйлеу</v>
      </c>
      <c r="B33" s="87">
        <f>'0-1'!G41</f>
        <v>2.5</v>
      </c>
      <c r="C33" s="87">
        <f>'0-1'!F41</f>
        <v>0</v>
      </c>
      <c r="D33" s="87" t="str">
        <f t="shared" si="0"/>
        <v>0-1</v>
      </c>
    </row>
    <row r="34" spans="1:4" ht="15" customHeight="1" x14ac:dyDescent="0.35">
      <c r="A34" s="87" t="str">
        <f>'0-1'!A42</f>
        <v>Сөйлеу</v>
      </c>
      <c r="B34" s="87">
        <f>'0-1'!G42</f>
        <v>5.5</v>
      </c>
      <c r="C34" s="87">
        <f>'0-1'!F42</f>
        <v>0</v>
      </c>
      <c r="D34" s="87" t="str">
        <f t="shared" ref="D34:D59" si="1">"0-1"</f>
        <v>0-1</v>
      </c>
    </row>
    <row r="35" spans="1:4" ht="15" customHeight="1" x14ac:dyDescent="0.35">
      <c r="A35" s="87" t="str">
        <f>'0-1'!A43</f>
        <v>Сөйлеу</v>
      </c>
      <c r="B35" s="87">
        <f>'0-1'!G43</f>
        <v>6.5</v>
      </c>
      <c r="C35" s="87">
        <f>'0-1'!F43</f>
        <v>0</v>
      </c>
      <c r="D35" s="87" t="str">
        <f t="shared" si="1"/>
        <v>0-1</v>
      </c>
    </row>
    <row r="36" spans="1:4" ht="15" customHeight="1" x14ac:dyDescent="0.35">
      <c r="A36" s="87" t="str">
        <f>'0-1'!A44</f>
        <v>Сөйлеу</v>
      </c>
      <c r="B36" s="87">
        <f>'0-1'!G44</f>
        <v>6.5</v>
      </c>
      <c r="C36" s="87">
        <f>'0-1'!F44</f>
        <v>0</v>
      </c>
      <c r="D36" s="87" t="str">
        <f t="shared" si="1"/>
        <v>0-1</v>
      </c>
    </row>
    <row r="37" spans="1:4" ht="15" customHeight="1" x14ac:dyDescent="0.35">
      <c r="A37" s="87" t="str">
        <f>'0-1'!A45</f>
        <v>Сөйлеу</v>
      </c>
      <c r="B37" s="87">
        <f>'0-1'!G45</f>
        <v>8</v>
      </c>
      <c r="C37" s="87">
        <f>'0-1'!F45</f>
        <v>0</v>
      </c>
      <c r="D37" s="87" t="str">
        <f t="shared" si="1"/>
        <v>0-1</v>
      </c>
    </row>
    <row r="38" spans="1:4" ht="15" customHeight="1" x14ac:dyDescent="0.35">
      <c r="A38" s="87" t="str">
        <f>'0-1'!A46</f>
        <v>Сөйлеу</v>
      </c>
      <c r="B38" s="87">
        <f>'0-1'!G46</f>
        <v>9</v>
      </c>
      <c r="C38" s="87">
        <f>'0-1'!F46</f>
        <v>0</v>
      </c>
      <c r="D38" s="87" t="str">
        <f t="shared" si="1"/>
        <v>0-1</v>
      </c>
    </row>
    <row r="39" spans="1:4" ht="15" customHeight="1" x14ac:dyDescent="0.35">
      <c r="A39" s="87" t="str">
        <f>'0-1'!A47</f>
        <v>Сөйлеу</v>
      </c>
      <c r="B39" s="87">
        <f>'0-1'!G47</f>
        <v>10</v>
      </c>
      <c r="C39" s="87">
        <f>'0-1'!F47</f>
        <v>0</v>
      </c>
      <c r="D39" s="87" t="str">
        <f t="shared" si="1"/>
        <v>0-1</v>
      </c>
    </row>
    <row r="40" spans="1:4" ht="15" customHeight="1" x14ac:dyDescent="0.35">
      <c r="A40" s="87" t="str">
        <f>'0-1'!A48</f>
        <v>Сөйлеу</v>
      </c>
      <c r="B40" s="87">
        <f>'0-1'!G48</f>
        <v>12</v>
      </c>
      <c r="C40" s="87">
        <f>'0-1'!F48</f>
        <v>0</v>
      </c>
      <c r="D40" s="87" t="str">
        <f t="shared" si="1"/>
        <v>0-1</v>
      </c>
    </row>
    <row r="41" spans="1:4" ht="15" customHeight="1" x14ac:dyDescent="0.35">
      <c r="A41" s="87" t="str">
        <f>'0-1'!A49</f>
        <v>ТАНЫМДЫҚ ДАМУ</v>
      </c>
      <c r="B41" s="87">
        <f>'0-1'!G49</f>
        <v>0</v>
      </c>
      <c r="C41" s="87">
        <f>'0-1'!F49</f>
        <v>0</v>
      </c>
      <c r="D41" s="87" t="str">
        <f t="shared" si="1"/>
        <v>0-1</v>
      </c>
    </row>
    <row r="42" spans="1:4" ht="15" customHeight="1" x14ac:dyDescent="0.35">
      <c r="A42" s="87" t="str">
        <f>'0-1'!A50</f>
        <v>Танымдық</v>
      </c>
      <c r="B42" s="87">
        <f>'0-1'!G50</f>
        <v>2.5</v>
      </c>
      <c r="C42" s="87">
        <f>'0-1'!F50</f>
        <v>0</v>
      </c>
      <c r="D42" s="87" t="str">
        <f t="shared" si="1"/>
        <v>0-1</v>
      </c>
    </row>
    <row r="43" spans="1:4" ht="15" customHeight="1" x14ac:dyDescent="0.35">
      <c r="A43" s="87" t="str">
        <f>'0-1'!A51</f>
        <v>Танымдық</v>
      </c>
      <c r="B43" s="87">
        <f>'0-1'!G51</f>
        <v>7</v>
      </c>
      <c r="C43" s="87">
        <f>'0-1'!F51</f>
        <v>0</v>
      </c>
      <c r="D43" s="87" t="str">
        <f t="shared" si="1"/>
        <v>0-1</v>
      </c>
    </row>
    <row r="44" spans="1:4" ht="15" customHeight="1" x14ac:dyDescent="0.35">
      <c r="A44" s="87" t="str">
        <f>'0-1'!A52</f>
        <v>Танымдық</v>
      </c>
      <c r="B44" s="87">
        <f>'0-1'!G52</f>
        <v>8</v>
      </c>
      <c r="C44" s="87">
        <f>'0-1'!F52</f>
        <v>0</v>
      </c>
      <c r="D44" s="87" t="str">
        <f t="shared" si="1"/>
        <v>0-1</v>
      </c>
    </row>
    <row r="45" spans="1:4" ht="15" customHeight="1" x14ac:dyDescent="0.35">
      <c r="A45" s="87" t="str">
        <f>'0-1'!A53</f>
        <v>Танымдық</v>
      </c>
      <c r="B45" s="87">
        <f>'0-1'!G53</f>
        <v>9</v>
      </c>
      <c r="C45" s="87">
        <f>'0-1'!F53</f>
        <v>0</v>
      </c>
      <c r="D45" s="87" t="str">
        <f t="shared" si="1"/>
        <v>0-1</v>
      </c>
    </row>
    <row r="46" spans="1:4" ht="15" customHeight="1" x14ac:dyDescent="0.35">
      <c r="A46" s="87" t="str">
        <f>'0-1'!A54</f>
        <v>Танымдық</v>
      </c>
      <c r="B46" s="87">
        <f>'0-1'!G54</f>
        <v>10.5</v>
      </c>
      <c r="C46" s="87">
        <f>'0-1'!F54</f>
        <v>0</v>
      </c>
      <c r="D46" s="87" t="str">
        <f t="shared" si="1"/>
        <v>0-1</v>
      </c>
    </row>
    <row r="47" spans="1:4" ht="15" customHeight="1" x14ac:dyDescent="0.35">
      <c r="A47" s="87" t="str">
        <f>'0-1'!A55</f>
        <v>ЭМОЦИЯЛЫҚ ДАМУ</v>
      </c>
      <c r="B47" s="87">
        <f>'0-1'!G55</f>
        <v>0</v>
      </c>
      <c r="C47" s="87">
        <f>'0-1'!F55</f>
        <v>0</v>
      </c>
      <c r="D47" s="87" t="str">
        <f t="shared" si="1"/>
        <v>0-1</v>
      </c>
    </row>
    <row r="48" spans="1:4" ht="15" customHeight="1" x14ac:dyDescent="0.35">
      <c r="A48" s="87" t="str">
        <f>'0-1'!A56</f>
        <v>Эмоциялар</v>
      </c>
      <c r="B48" s="87">
        <f>'0-1'!G56</f>
        <v>1.5</v>
      </c>
      <c r="C48" s="87">
        <f>'0-1'!F56</f>
        <v>0</v>
      </c>
      <c r="D48" s="87" t="str">
        <f t="shared" si="1"/>
        <v>0-1</v>
      </c>
    </row>
    <row r="49" spans="1:4" ht="15" customHeight="1" x14ac:dyDescent="0.35">
      <c r="A49" s="87" t="str">
        <f>'0-1'!A57</f>
        <v>Эмоциялар</v>
      </c>
      <c r="B49" s="87">
        <f>'0-1'!G57</f>
        <v>2.5</v>
      </c>
      <c r="C49" s="87">
        <f>'0-1'!F57</f>
        <v>0</v>
      </c>
      <c r="D49" s="87" t="str">
        <f t="shared" si="1"/>
        <v>0-1</v>
      </c>
    </row>
    <row r="50" spans="1:4" ht="15" customHeight="1" x14ac:dyDescent="0.35">
      <c r="A50" s="87" t="str">
        <f>'0-1'!A58</f>
        <v>Эмоциялар</v>
      </c>
      <c r="B50" s="87">
        <f>'0-1'!G58</f>
        <v>3.5</v>
      </c>
      <c r="C50" s="87">
        <f>'0-1'!F58</f>
        <v>0</v>
      </c>
      <c r="D50" s="87" t="str">
        <f t="shared" si="1"/>
        <v>0-1</v>
      </c>
    </row>
    <row r="51" spans="1:4" ht="15" customHeight="1" x14ac:dyDescent="0.35">
      <c r="A51" s="87" t="str">
        <f>'0-1'!A59</f>
        <v>Эмоциялар</v>
      </c>
      <c r="B51" s="87">
        <f>'0-1'!G59</f>
        <v>7</v>
      </c>
      <c r="C51" s="87">
        <f>'0-1'!F59</f>
        <v>0</v>
      </c>
      <c r="D51" s="87" t="str">
        <f t="shared" si="1"/>
        <v>0-1</v>
      </c>
    </row>
    <row r="52" spans="1:4" ht="15" customHeight="1" x14ac:dyDescent="0.35">
      <c r="A52" s="87" t="str">
        <f>'0-1'!A60</f>
        <v>Эмоциялар</v>
      </c>
      <c r="B52" s="87">
        <f>'0-1'!G60</f>
        <v>7.5</v>
      </c>
      <c r="C52" s="87">
        <f>'0-1'!F60</f>
        <v>0</v>
      </c>
      <c r="D52" s="87" t="str">
        <f t="shared" si="1"/>
        <v>0-1</v>
      </c>
    </row>
    <row r="53" spans="1:4" ht="15" customHeight="1" x14ac:dyDescent="0.35">
      <c r="A53" s="87" t="str">
        <f>'0-1'!A61</f>
        <v>Эмоциялар</v>
      </c>
      <c r="B53" s="87">
        <f>'0-1'!G61</f>
        <v>10</v>
      </c>
      <c r="C53" s="87">
        <f>'0-1'!F61</f>
        <v>0</v>
      </c>
      <c r="D53" s="87" t="str">
        <f t="shared" si="1"/>
        <v>0-1</v>
      </c>
    </row>
    <row r="54" spans="1:4" ht="15" customHeight="1" x14ac:dyDescent="0.35">
      <c r="A54" s="87" t="str">
        <f>'0-1'!A62</f>
        <v>ӘЛЕУМЕТТІК ДАМУ</v>
      </c>
      <c r="B54" s="87">
        <f>'0-1'!G62</f>
        <v>0</v>
      </c>
      <c r="C54" s="87">
        <f>'0-1'!F62</f>
        <v>0</v>
      </c>
      <c r="D54" s="87" t="str">
        <f t="shared" si="1"/>
        <v>0-1</v>
      </c>
    </row>
    <row r="55" spans="1:4" ht="15" customHeight="1" x14ac:dyDescent="0.35">
      <c r="A55" s="87" t="str">
        <f>'0-1'!A63</f>
        <v>Әлеуметтік</v>
      </c>
      <c r="B55" s="87">
        <f>'0-1'!G63</f>
        <v>1.5</v>
      </c>
      <c r="C55" s="87">
        <f>'0-1'!F63</f>
        <v>0</v>
      </c>
      <c r="D55" s="87" t="str">
        <f t="shared" si="1"/>
        <v>0-1</v>
      </c>
    </row>
    <row r="56" spans="1:4" ht="15" customHeight="1" x14ac:dyDescent="0.35">
      <c r="A56" s="87" t="str">
        <f>'0-1'!A64</f>
        <v>Әлеуметтік</v>
      </c>
      <c r="B56" s="87">
        <f>'0-1'!G64</f>
        <v>2.5</v>
      </c>
      <c r="C56" s="87">
        <f>'0-1'!F64</f>
        <v>0</v>
      </c>
      <c r="D56" s="87" t="str">
        <f t="shared" si="1"/>
        <v>0-1</v>
      </c>
    </row>
    <row r="57" spans="1:4" ht="15" customHeight="1" x14ac:dyDescent="0.35">
      <c r="A57" s="87" t="str">
        <f>'0-1'!A65</f>
        <v>Әлеуметтік</v>
      </c>
      <c r="B57" s="87">
        <f>'0-1'!G65</f>
        <v>5</v>
      </c>
      <c r="C57" s="87">
        <f>'0-1'!F65</f>
        <v>0</v>
      </c>
      <c r="D57" s="87" t="str">
        <f t="shared" si="1"/>
        <v>0-1</v>
      </c>
    </row>
    <row r="58" spans="1:4" ht="15" customHeight="1" x14ac:dyDescent="0.35">
      <c r="A58" s="87" t="str">
        <f>'0-1'!A66</f>
        <v>Әлеуметтік</v>
      </c>
      <c r="B58" s="87">
        <f>'0-1'!G66</f>
        <v>8</v>
      </c>
      <c r="C58" s="87">
        <f>'0-1'!F66</f>
        <v>0</v>
      </c>
      <c r="D58" s="87" t="str">
        <f t="shared" si="1"/>
        <v>0-1</v>
      </c>
    </row>
    <row r="59" spans="1:4" ht="15" customHeight="1" x14ac:dyDescent="0.35">
      <c r="A59" s="87" t="str">
        <f>'0-1'!A67</f>
        <v>Әлеуметтік</v>
      </c>
      <c r="B59" s="87">
        <f>'0-1'!G67</f>
        <v>10.5</v>
      </c>
      <c r="C59" s="87">
        <f>'0-1'!F67</f>
        <v>0</v>
      </c>
      <c r="D59" s="87" t="str">
        <f t="shared" si="1"/>
        <v>0-1</v>
      </c>
    </row>
    <row r="60" spans="1:4" ht="15" customHeight="1" x14ac:dyDescent="0.35">
      <c r="A60" s="20"/>
      <c r="B60" s="20"/>
      <c r="C60" s="20"/>
      <c r="D60" s="20"/>
    </row>
    <row r="61" spans="1:4" ht="15" customHeight="1" x14ac:dyDescent="0.35"/>
    <row r="62" spans="1:4" ht="15" customHeight="1" x14ac:dyDescent="0.35"/>
    <row r="63" spans="1:4" ht="15" customHeight="1" x14ac:dyDescent="0.35"/>
    <row r="64" spans="1: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  <row r="136" ht="15" customHeight="1" x14ac:dyDescent="0.35"/>
    <row r="137" ht="15" customHeight="1" x14ac:dyDescent="0.35"/>
    <row r="138" ht="15" customHeight="1" x14ac:dyDescent="0.35"/>
    <row r="139" ht="15" customHeight="1" x14ac:dyDescent="0.35"/>
    <row r="140" ht="15" customHeight="1" x14ac:dyDescent="0.35"/>
    <row r="141" ht="15" customHeight="1" x14ac:dyDescent="0.35"/>
    <row r="142" ht="15" customHeight="1" x14ac:dyDescent="0.35"/>
    <row r="143" ht="15" customHeight="1" x14ac:dyDescent="0.35"/>
    <row r="144" ht="15" customHeight="1" x14ac:dyDescent="0.35"/>
    <row r="145" ht="15" customHeight="1" x14ac:dyDescent="0.35"/>
    <row r="146" ht="15" customHeight="1" x14ac:dyDescent="0.35"/>
    <row r="147" ht="15" customHeight="1" x14ac:dyDescent="0.35"/>
    <row r="148" ht="15" customHeight="1" x14ac:dyDescent="0.35"/>
    <row r="149" ht="15" customHeight="1" x14ac:dyDescent="0.35"/>
    <row r="150" ht="15" customHeight="1" x14ac:dyDescent="0.35"/>
    <row r="151" ht="15" customHeight="1" x14ac:dyDescent="0.35"/>
    <row r="152" ht="15" customHeight="1" x14ac:dyDescent="0.35"/>
    <row r="153" ht="15" customHeight="1" x14ac:dyDescent="0.35"/>
    <row r="154" ht="15" customHeight="1" x14ac:dyDescent="0.35"/>
    <row r="155" ht="15" customHeight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  <row r="206" ht="15" customHeight="1" x14ac:dyDescent="0.35"/>
    <row r="207" ht="15" customHeight="1" x14ac:dyDescent="0.35"/>
    <row r="208" ht="15" customHeight="1" x14ac:dyDescent="0.35"/>
    <row r="209" ht="15" customHeight="1" x14ac:dyDescent="0.35"/>
    <row r="210" ht="15" customHeight="1" x14ac:dyDescent="0.35"/>
    <row r="211" ht="15" customHeight="1" x14ac:dyDescent="0.35"/>
    <row r="212" ht="15" customHeight="1" x14ac:dyDescent="0.35"/>
    <row r="213" ht="15" customHeight="1" x14ac:dyDescent="0.35"/>
    <row r="214" ht="15" customHeight="1" x14ac:dyDescent="0.35"/>
    <row r="215" ht="15" customHeight="1" x14ac:dyDescent="0.35"/>
    <row r="216" ht="15" customHeight="1" x14ac:dyDescent="0.35"/>
    <row r="217" ht="15" customHeight="1" x14ac:dyDescent="0.35"/>
    <row r="218" ht="15" customHeight="1" x14ac:dyDescent="0.35"/>
    <row r="219" ht="15" customHeight="1" x14ac:dyDescent="0.35"/>
    <row r="220" ht="15" customHeight="1" x14ac:dyDescent="0.35"/>
    <row r="221" ht="15" customHeight="1" x14ac:dyDescent="0.35"/>
    <row r="222" ht="15" customHeight="1" x14ac:dyDescent="0.35"/>
    <row r="223" ht="15" customHeight="1" x14ac:dyDescent="0.35"/>
    <row r="224" ht="15" customHeight="1" x14ac:dyDescent="0.35"/>
    <row r="225" ht="15" customHeight="1" x14ac:dyDescent="0.35"/>
    <row r="226" ht="15" customHeight="1" x14ac:dyDescent="0.35"/>
    <row r="227" ht="15" customHeight="1" x14ac:dyDescent="0.35"/>
    <row r="228" ht="15" customHeight="1" x14ac:dyDescent="0.35"/>
    <row r="229" ht="15" customHeight="1" x14ac:dyDescent="0.35"/>
    <row r="230" ht="15" customHeight="1" x14ac:dyDescent="0.35"/>
    <row r="231" ht="15" customHeight="1" x14ac:dyDescent="0.35"/>
    <row r="232" ht="15" customHeight="1" x14ac:dyDescent="0.35"/>
    <row r="233" ht="15" customHeight="1" x14ac:dyDescent="0.35"/>
    <row r="234" ht="15" customHeight="1" x14ac:dyDescent="0.35"/>
    <row r="235" ht="15" customHeight="1" x14ac:dyDescent="0.35"/>
    <row r="236" ht="15" customHeight="1" x14ac:dyDescent="0.35"/>
    <row r="237" ht="15" customHeight="1" x14ac:dyDescent="0.35"/>
    <row r="238" ht="15" customHeight="1" x14ac:dyDescent="0.35"/>
    <row r="239" ht="15" customHeight="1" x14ac:dyDescent="0.35"/>
    <row r="240" ht="15" customHeight="1" x14ac:dyDescent="0.35"/>
    <row r="241" ht="15" customHeight="1" x14ac:dyDescent="0.35"/>
    <row r="242" ht="15" customHeight="1" x14ac:dyDescent="0.35"/>
    <row r="243" ht="15" customHeight="1" x14ac:dyDescent="0.35"/>
    <row r="244" ht="15" customHeight="1" x14ac:dyDescent="0.35"/>
    <row r="245" ht="15" customHeight="1" x14ac:dyDescent="0.35"/>
    <row r="246" ht="15" customHeight="1" x14ac:dyDescent="0.35"/>
    <row r="247" ht="15" customHeight="1" x14ac:dyDescent="0.35"/>
    <row r="248" ht="15" customHeight="1" x14ac:dyDescent="0.35"/>
    <row r="249" ht="15" customHeight="1" x14ac:dyDescent="0.35"/>
    <row r="250" ht="15" customHeight="1" x14ac:dyDescent="0.35"/>
    <row r="251" ht="15" customHeight="1" x14ac:dyDescent="0.35"/>
    <row r="252" ht="15" customHeight="1" x14ac:dyDescent="0.35"/>
    <row r="253" ht="15" customHeight="1" x14ac:dyDescent="0.35"/>
    <row r="254" ht="15" customHeight="1" x14ac:dyDescent="0.35"/>
    <row r="255" ht="15" customHeight="1" x14ac:dyDescent="0.35"/>
    <row r="256" ht="15" customHeight="1" x14ac:dyDescent="0.35"/>
    <row r="257" ht="15" customHeight="1" x14ac:dyDescent="0.35"/>
    <row r="258" ht="15" customHeight="1" x14ac:dyDescent="0.35"/>
    <row r="259" ht="15" customHeight="1" x14ac:dyDescent="0.35"/>
    <row r="260" ht="15" customHeight="1" x14ac:dyDescent="0.35"/>
    <row r="261" ht="15" customHeight="1" x14ac:dyDescent="0.35"/>
    <row r="262" ht="15" customHeight="1" x14ac:dyDescent="0.35"/>
    <row r="263" ht="15" customHeight="1" x14ac:dyDescent="0.35"/>
    <row r="264" ht="15" customHeight="1" x14ac:dyDescent="0.35"/>
    <row r="265" ht="15" customHeight="1" x14ac:dyDescent="0.35"/>
    <row r="266" ht="15" customHeight="1" x14ac:dyDescent="0.35"/>
    <row r="267" ht="15" customHeight="1" x14ac:dyDescent="0.35"/>
    <row r="268" ht="15" customHeight="1" x14ac:dyDescent="0.35"/>
    <row r="269" ht="15" customHeight="1" x14ac:dyDescent="0.35"/>
    <row r="270" ht="15" customHeight="1" x14ac:dyDescent="0.35"/>
    <row r="271" ht="15" customHeight="1" x14ac:dyDescent="0.35"/>
    <row r="272" ht="15" customHeight="1" x14ac:dyDescent="0.35"/>
    <row r="273" ht="15" customHeight="1" x14ac:dyDescent="0.35"/>
    <row r="274" ht="15" customHeight="1" x14ac:dyDescent="0.35"/>
    <row r="275" ht="15" customHeight="1" x14ac:dyDescent="0.35"/>
    <row r="276" ht="15" customHeight="1" x14ac:dyDescent="0.35"/>
    <row r="277" ht="15" customHeight="1" x14ac:dyDescent="0.35"/>
    <row r="278" ht="15" customHeight="1" x14ac:dyDescent="0.35"/>
    <row r="279" ht="15" customHeight="1" x14ac:dyDescent="0.35"/>
    <row r="280" ht="15" customHeight="1" x14ac:dyDescent="0.35"/>
    <row r="281" ht="15" customHeight="1" x14ac:dyDescent="0.35"/>
    <row r="282" ht="15" customHeight="1" x14ac:dyDescent="0.35"/>
    <row r="283" ht="15" customHeight="1" x14ac:dyDescent="0.35"/>
    <row r="284" ht="15" customHeight="1" x14ac:dyDescent="0.35"/>
    <row r="285" ht="15" customHeight="1" x14ac:dyDescent="0.35"/>
    <row r="286" ht="15" customHeight="1" x14ac:dyDescent="0.35"/>
    <row r="287" ht="15" customHeight="1" x14ac:dyDescent="0.35"/>
    <row r="288" ht="15" customHeight="1" x14ac:dyDescent="0.35"/>
    <row r="289" ht="15" customHeight="1" x14ac:dyDescent="0.35"/>
    <row r="290" ht="15" customHeight="1" x14ac:dyDescent="0.35"/>
    <row r="291" ht="15" customHeight="1" x14ac:dyDescent="0.35"/>
    <row r="292" ht="15" customHeight="1" x14ac:dyDescent="0.35"/>
    <row r="293" ht="15" customHeight="1" x14ac:dyDescent="0.35"/>
    <row r="294" ht="15" customHeight="1" x14ac:dyDescent="0.35"/>
    <row r="295" ht="15" customHeight="1" x14ac:dyDescent="0.35"/>
    <row r="296" ht="15" customHeight="1" x14ac:dyDescent="0.35"/>
    <row r="297" ht="15" customHeight="1" x14ac:dyDescent="0.35"/>
    <row r="298" ht="15" customHeight="1" x14ac:dyDescent="0.35"/>
    <row r="299" ht="15" customHeight="1" x14ac:dyDescent="0.35"/>
    <row r="300" ht="15" customHeight="1" x14ac:dyDescent="0.35"/>
    <row r="301" ht="15" customHeight="1" x14ac:dyDescent="0.35"/>
    <row r="302" ht="15" customHeight="1" x14ac:dyDescent="0.35"/>
    <row r="303" ht="15" customHeight="1" x14ac:dyDescent="0.35"/>
    <row r="304" ht="15" customHeight="1" x14ac:dyDescent="0.35"/>
    <row r="305" ht="15" customHeight="1" x14ac:dyDescent="0.35"/>
    <row r="306" ht="15" customHeight="1" x14ac:dyDescent="0.35"/>
    <row r="307" ht="15" customHeight="1" x14ac:dyDescent="0.35"/>
    <row r="308" ht="15" customHeight="1" x14ac:dyDescent="0.35"/>
    <row r="309" ht="15" customHeight="1" x14ac:dyDescent="0.35"/>
    <row r="310" ht="15" customHeight="1" x14ac:dyDescent="0.35"/>
    <row r="311" ht="15" customHeight="1" x14ac:dyDescent="0.35"/>
    <row r="312" ht="15" customHeight="1" x14ac:dyDescent="0.35"/>
    <row r="313" ht="15" customHeight="1" x14ac:dyDescent="0.35"/>
    <row r="314" ht="15" customHeight="1" x14ac:dyDescent="0.35"/>
    <row r="315" ht="15" customHeight="1" x14ac:dyDescent="0.35"/>
    <row r="316" ht="15" customHeight="1" x14ac:dyDescent="0.35"/>
    <row r="317" ht="15" customHeight="1" x14ac:dyDescent="0.35"/>
    <row r="318" ht="15" customHeight="1" x14ac:dyDescent="0.35"/>
    <row r="319" ht="15" customHeight="1" x14ac:dyDescent="0.35"/>
    <row r="320" ht="15" customHeight="1" x14ac:dyDescent="0.35"/>
    <row r="321" ht="15" customHeight="1" x14ac:dyDescent="0.35"/>
    <row r="322" ht="15" customHeight="1" x14ac:dyDescent="0.35"/>
    <row r="323" ht="15" customHeight="1" x14ac:dyDescent="0.35"/>
    <row r="324" ht="15" customHeight="1" x14ac:dyDescent="0.35"/>
    <row r="325" ht="15" customHeight="1" x14ac:dyDescent="0.35"/>
    <row r="326" ht="15" customHeight="1" x14ac:dyDescent="0.35"/>
    <row r="327" ht="15" customHeight="1" x14ac:dyDescent="0.35"/>
    <row r="328" ht="15" customHeight="1" x14ac:dyDescent="0.35"/>
    <row r="329" ht="15" customHeight="1" x14ac:dyDescent="0.35"/>
  </sheetData>
  <sheetProtection algorithmName="SHA-512" hashValue="Rf9j9j7i4L8E5//Vkdra0MF9MF2cXG/0qn5yUK1V2SR4rX4sASC2kbjuNyz6VcQvoj/ge8Ff1ynm0Q6SHqvL1w==" saltValue="8GT+gCdy4J4Et6n/yj5nfg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Қайта сату тыйым салынған&amp;R&amp;8 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БАСТАУ</vt:lpstr>
      <vt:lpstr>НҰСҚАУЛЫҚ</vt:lpstr>
      <vt:lpstr>ПАСПОРТ</vt:lpstr>
      <vt:lpstr>0-1</vt:lpstr>
      <vt:lpstr>Даму профилі</vt:lpstr>
      <vt:lpstr>НӘТИЖЕЛЕР</vt:lpstr>
      <vt:lpstr>ҚОРЫТЫНДЫ</vt:lpstr>
      <vt:lpstr>ДАМУ ЖОСПАРЫ</vt:lpstr>
      <vt:lpstr>БАЗА</vt:lpstr>
      <vt:lpstr>профиль</vt:lpstr>
      <vt:lpstr>ЖАТТЫҒУЛАР</vt:lpstr>
      <vt:lpstr>ҰСЫНЫМДАР</vt:lpstr>
      <vt:lpstr>МАМАНДАР</vt:lpstr>
      <vt:lpstr>НЕЙРОФУНКЦИЯЛАР</vt:lpstr>
      <vt:lpstr>СЕНСОРИКА</vt:lpstr>
      <vt:lpstr>СЕБЕПТЕР</vt:lpstr>
      <vt:lpstr>ЖАТТЫҒУЛАР!_GoBack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cp:revision>13</cp:revision>
  <dcterms:created xsi:type="dcterms:W3CDTF">2006-09-28T05:33:49Z</dcterms:created>
  <dcterms:modified xsi:type="dcterms:W3CDTF">2026-08-27T08:49:44Z</dcterms:modified>
  <dc:language>en-US</dc:language>
</cp:coreProperties>
</file>