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sus\Desktop\ЛОЛА\LOLA System\LOLA_Track\LT_Child_Dev\"/>
    </mc:Choice>
  </mc:AlternateContent>
  <xr:revisionPtr revIDLastSave="0" documentId="13_ncr:1_{76F3B0EF-FC4E-41F4-98A8-6808C4D3A033}" xr6:coauthVersionLast="47" xr6:coauthVersionMax="47" xr10:uidLastSave="{00000000-0000-0000-0000-000000000000}"/>
  <bookViews>
    <workbookView xWindow="-110" yWindow="-110" windowWidth="19420" windowHeight="10300" tabRatio="500" firstSheet="2" activeTab="2" xr2:uid="{00000000-000D-0000-FFFF-FFFF00000000}"/>
  </bookViews>
  <sheets>
    <sheet name="СТАРТ" sheetId="1" r:id="rId1"/>
    <sheet name="ИНСТРУКЦИЯ" sheetId="2" r:id="rId2"/>
    <sheet name="ПАСПОРТ" sheetId="3" r:id="rId3"/>
    <sheet name="0-1" sheetId="4" r:id="rId4"/>
    <sheet name="РЕЗУЛЬТАТЫ" sheetId="5" r:id="rId5"/>
    <sheet name="ИТОГОВЫЙ ОТЧЁТ" sheetId="6" r:id="rId6"/>
    <sheet name="БАЗА" sheetId="7" state="hidden" r:id="rId7"/>
    <sheet name="профиль" sheetId="8" state="hidden" r:id="rId8"/>
    <sheet name="ПЛАН развития" sheetId="9" r:id="rId9"/>
    <sheet name="профиль развития" sheetId="10" state="hidden" r:id="rId10"/>
    <sheet name="УПРАЖНЕНИЯ" sheetId="11" state="hidden" r:id="rId11"/>
    <sheet name="Рекомендации" sheetId="12" state="hidden" r:id="rId12"/>
    <sheet name="СПЕЦИАЛИСТЫ" sheetId="13" state="hidden" r:id="rId13"/>
    <sheet name="НЕЙРОФУНКЦИИ" sheetId="14" state="hidden" r:id="rId14"/>
    <sheet name="СЕНСОРИКА" sheetId="15" state="hidden" r:id="rId15"/>
    <sheet name="ПРИЧИНЫ" sheetId="16" state="hidden" r:id="rId16"/>
  </sheets>
  <definedNames>
    <definedName name="_GoBack" localSheetId="10">УПРАЖНЕНИЯ!$A$1</definedName>
    <definedName name="Физика">профиль!$A$2:$B$8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9" l="1"/>
  <c r="D5" i="9"/>
  <c r="D4" i="9"/>
  <c r="D3" i="9"/>
  <c r="I8" i="8"/>
  <c r="H8" i="8"/>
  <c r="C8" i="8"/>
  <c r="I7" i="8"/>
  <c r="H7" i="8"/>
  <c r="D7" i="8"/>
  <c r="I6" i="8"/>
  <c r="H6" i="8"/>
  <c r="I5" i="8"/>
  <c r="H5" i="8"/>
  <c r="D5" i="8"/>
  <c r="I4" i="8"/>
  <c r="H4" i="8"/>
  <c r="I3" i="8"/>
  <c r="H3" i="8"/>
  <c r="D3" i="8"/>
  <c r="I2" i="8"/>
  <c r="H2" i="8"/>
  <c r="D59" i="7"/>
  <c r="C59" i="7"/>
  <c r="A59" i="7"/>
  <c r="D58" i="7"/>
  <c r="A58" i="7"/>
  <c r="D57" i="7"/>
  <c r="A57" i="7"/>
  <c r="D56" i="7"/>
  <c r="A56" i="7"/>
  <c r="D55" i="7"/>
  <c r="C55" i="7"/>
  <c r="A55" i="7"/>
  <c r="D54" i="7"/>
  <c r="C54" i="7"/>
  <c r="B54" i="7"/>
  <c r="A54" i="7"/>
  <c r="D53" i="7"/>
  <c r="A53" i="7"/>
  <c r="D52" i="7"/>
  <c r="A52" i="7"/>
  <c r="D51" i="7"/>
  <c r="A51" i="7"/>
  <c r="D50" i="7"/>
  <c r="C50" i="7"/>
  <c r="A50" i="7"/>
  <c r="D49" i="7"/>
  <c r="A49" i="7"/>
  <c r="D48" i="7"/>
  <c r="A48" i="7"/>
  <c r="D47" i="7"/>
  <c r="C47" i="7"/>
  <c r="B47" i="7"/>
  <c r="A47" i="7"/>
  <c r="D46" i="7"/>
  <c r="A46" i="7"/>
  <c r="D45" i="7"/>
  <c r="C45" i="7"/>
  <c r="A45" i="7"/>
  <c r="D44" i="7"/>
  <c r="A44" i="7"/>
  <c r="D43" i="7"/>
  <c r="A43" i="7"/>
  <c r="D42" i="7"/>
  <c r="A42" i="7"/>
  <c r="D41" i="7"/>
  <c r="C41" i="7"/>
  <c r="B41" i="7"/>
  <c r="A41" i="7"/>
  <c r="D40" i="7"/>
  <c r="C40" i="7"/>
  <c r="A40" i="7"/>
  <c r="D39" i="7"/>
  <c r="A39" i="7"/>
  <c r="D38" i="7"/>
  <c r="A38" i="7"/>
  <c r="D37" i="7"/>
  <c r="A37" i="7"/>
  <c r="D36" i="7"/>
  <c r="C36" i="7"/>
  <c r="A36" i="7"/>
  <c r="D35" i="7"/>
  <c r="A35" i="7"/>
  <c r="D34" i="7"/>
  <c r="A34" i="7"/>
  <c r="D33" i="7"/>
  <c r="A33" i="7"/>
  <c r="D32" i="7"/>
  <c r="C32" i="7"/>
  <c r="B32" i="7"/>
  <c r="A32" i="7"/>
  <c r="D31" i="7"/>
  <c r="C31" i="7"/>
  <c r="A31" i="7"/>
  <c r="D30" i="7"/>
  <c r="A30" i="7"/>
  <c r="D29" i="7"/>
  <c r="A29" i="7"/>
  <c r="D28" i="7"/>
  <c r="A28" i="7"/>
  <c r="D27" i="7"/>
  <c r="C27" i="7"/>
  <c r="A27" i="7"/>
  <c r="D26" i="7"/>
  <c r="A26" i="7"/>
  <c r="D25" i="7"/>
  <c r="A25" i="7"/>
  <c r="D24" i="7"/>
  <c r="C24" i="7"/>
  <c r="B24" i="7"/>
  <c r="A24" i="7"/>
  <c r="D23" i="7"/>
  <c r="A23" i="7"/>
  <c r="D22" i="7"/>
  <c r="A22" i="7"/>
  <c r="D21" i="7"/>
  <c r="A21" i="7"/>
  <c r="D20" i="7"/>
  <c r="A20" i="7"/>
  <c r="D19" i="7"/>
  <c r="A19" i="7"/>
  <c r="D18" i="7"/>
  <c r="A18" i="7"/>
  <c r="D17" i="7"/>
  <c r="A17" i="7"/>
  <c r="D16" i="7"/>
  <c r="A16" i="7"/>
  <c r="D15" i="7"/>
  <c r="C15" i="7"/>
  <c r="B15" i="7"/>
  <c r="A15" i="7"/>
  <c r="D14" i="7"/>
  <c r="A14" i="7"/>
  <c r="D13" i="7"/>
  <c r="A13" i="7"/>
  <c r="D12" i="7"/>
  <c r="A12" i="7"/>
  <c r="D11" i="7"/>
  <c r="A11" i="7"/>
  <c r="D10" i="7"/>
  <c r="A10" i="7"/>
  <c r="D9" i="7"/>
  <c r="A9" i="7"/>
  <c r="D8" i="7"/>
  <c r="A8" i="7"/>
  <c r="D7" i="7"/>
  <c r="A7" i="7"/>
  <c r="D6" i="7"/>
  <c r="A6" i="7"/>
  <c r="D5" i="7"/>
  <c r="A5" i="7"/>
  <c r="D4" i="7"/>
  <c r="A4" i="7"/>
  <c r="D3" i="7"/>
  <c r="A3" i="7"/>
  <c r="D2" i="7"/>
  <c r="A2" i="7"/>
  <c r="C34" i="6"/>
  <c r="B34" i="6"/>
  <c r="A25" i="6"/>
  <c r="A24" i="6"/>
  <c r="A23" i="6"/>
  <c r="A22" i="6"/>
  <c r="A21" i="6"/>
  <c r="A20" i="6"/>
  <c r="A19" i="6"/>
  <c r="B6" i="6"/>
  <c r="B5" i="6"/>
  <c r="B4" i="6"/>
  <c r="B3" i="6"/>
  <c r="A40" i="5"/>
  <c r="A39" i="5"/>
  <c r="A38" i="5"/>
  <c r="A37" i="5"/>
  <c r="A36" i="5"/>
  <c r="A35" i="5"/>
  <c r="A34" i="5"/>
  <c r="B7" i="5"/>
  <c r="B6" i="5"/>
  <c r="B4" i="5"/>
  <c r="B3" i="5"/>
  <c r="G67" i="4"/>
  <c r="B59" i="7" s="1"/>
  <c r="F67" i="4"/>
  <c r="E67" i="4"/>
  <c r="G66" i="4"/>
  <c r="B58" i="7" s="1"/>
  <c r="E66" i="4"/>
  <c r="F66" i="4" s="1"/>
  <c r="C58" i="7" s="1"/>
  <c r="G65" i="4"/>
  <c r="B57" i="7" s="1"/>
  <c r="F65" i="4"/>
  <c r="C57" i="7" s="1"/>
  <c r="E65" i="4"/>
  <c r="G64" i="4"/>
  <c r="B56" i="7" s="1"/>
  <c r="E64" i="4"/>
  <c r="F64" i="4" s="1"/>
  <c r="C56" i="7" s="1"/>
  <c r="G63" i="4"/>
  <c r="B55" i="7" s="1"/>
  <c r="F63" i="4"/>
  <c r="E63" i="4"/>
  <c r="G61" i="4"/>
  <c r="B53" i="7" s="1"/>
  <c r="E61" i="4"/>
  <c r="F61" i="4" s="1"/>
  <c r="C53" i="7" s="1"/>
  <c r="G60" i="4"/>
  <c r="B52" i="7" s="1"/>
  <c r="F60" i="4"/>
  <c r="C52" i="7" s="1"/>
  <c r="E60" i="4"/>
  <c r="G59" i="4"/>
  <c r="B51" i="7" s="1"/>
  <c r="E59" i="4"/>
  <c r="F59" i="4" s="1"/>
  <c r="C51" i="7" s="1"/>
  <c r="G58" i="4"/>
  <c r="B50" i="7" s="1"/>
  <c r="F58" i="4"/>
  <c r="E58" i="4"/>
  <c r="G57" i="4"/>
  <c r="B49" i="7" s="1"/>
  <c r="E57" i="4"/>
  <c r="F57" i="4" s="1"/>
  <c r="C49" i="7" s="1"/>
  <c r="G56" i="4"/>
  <c r="B48" i="7" s="1"/>
  <c r="F56" i="4"/>
  <c r="C48" i="7" s="1"/>
  <c r="E56" i="4"/>
  <c r="G54" i="4"/>
  <c r="B46" i="7" s="1"/>
  <c r="E54" i="4"/>
  <c r="F54" i="4" s="1"/>
  <c r="C46" i="7" s="1"/>
  <c r="G53" i="4"/>
  <c r="B45" i="7" s="1"/>
  <c r="F53" i="4"/>
  <c r="E53" i="4"/>
  <c r="G52" i="4"/>
  <c r="B44" i="7" s="1"/>
  <c r="E52" i="4"/>
  <c r="F52" i="4" s="1"/>
  <c r="C44" i="7" s="1"/>
  <c r="G51" i="4"/>
  <c r="B43" i="7" s="1"/>
  <c r="F51" i="4"/>
  <c r="C43" i="7" s="1"/>
  <c r="E51" i="4"/>
  <c r="G50" i="4"/>
  <c r="B42" i="7" s="1"/>
  <c r="E50" i="4"/>
  <c r="F50" i="4" s="1"/>
  <c r="C42" i="7" s="1"/>
  <c r="G48" i="4"/>
  <c r="B40" i="7" s="1"/>
  <c r="F48" i="4"/>
  <c r="E48" i="4"/>
  <c r="G47" i="4"/>
  <c r="B39" i="7" s="1"/>
  <c r="E47" i="4"/>
  <c r="F47" i="4" s="1"/>
  <c r="C39" i="7" s="1"/>
  <c r="G46" i="4"/>
  <c r="B38" i="7" s="1"/>
  <c r="F46" i="4"/>
  <c r="C38" i="7" s="1"/>
  <c r="E46" i="4"/>
  <c r="G45" i="4"/>
  <c r="B37" i="7" s="1"/>
  <c r="E45" i="4"/>
  <c r="F45" i="4" s="1"/>
  <c r="C37" i="7" s="1"/>
  <c r="G44" i="4"/>
  <c r="B36" i="7" s="1"/>
  <c r="F44" i="4"/>
  <c r="E44" i="4"/>
  <c r="G43" i="4"/>
  <c r="B35" i="7" s="1"/>
  <c r="E43" i="4"/>
  <c r="F43" i="4" s="1"/>
  <c r="C35" i="7" s="1"/>
  <c r="G42" i="4"/>
  <c r="B34" i="7" s="1"/>
  <c r="F42" i="4"/>
  <c r="C34" i="7" s="1"/>
  <c r="E42" i="4"/>
  <c r="G41" i="4"/>
  <c r="B33" i="7" s="1"/>
  <c r="E41" i="4"/>
  <c r="F41" i="4" s="1"/>
  <c r="C33" i="7" s="1"/>
  <c r="G39" i="4"/>
  <c r="B31" i="7" s="1"/>
  <c r="F39" i="4"/>
  <c r="E39" i="4"/>
  <c r="G38" i="4"/>
  <c r="B30" i="7" s="1"/>
  <c r="E38" i="4"/>
  <c r="F38" i="4" s="1"/>
  <c r="C30" i="7" s="1"/>
  <c r="G37" i="4"/>
  <c r="B29" i="7" s="1"/>
  <c r="F37" i="4"/>
  <c r="C29" i="7" s="1"/>
  <c r="E37" i="4"/>
  <c r="G36" i="4"/>
  <c r="B28" i="7" s="1"/>
  <c r="E36" i="4"/>
  <c r="F36" i="4" s="1"/>
  <c r="C28" i="7" s="1"/>
  <c r="G35" i="4"/>
  <c r="B27" i="7" s="1"/>
  <c r="F35" i="4"/>
  <c r="E35" i="4"/>
  <c r="G34" i="4"/>
  <c r="B26" i="7" s="1"/>
  <c r="E34" i="4"/>
  <c r="F34" i="4" s="1"/>
  <c r="C26" i="7" s="1"/>
  <c r="G33" i="4"/>
  <c r="B25" i="7" s="1"/>
  <c r="F33" i="4"/>
  <c r="C25" i="7" s="1"/>
  <c r="E33" i="4"/>
  <c r="G31" i="4"/>
  <c r="B23" i="7" s="1"/>
  <c r="E31" i="4"/>
  <c r="F31" i="4" s="1"/>
  <c r="C23" i="7" s="1"/>
  <c r="G30" i="4"/>
  <c r="B22" i="7" s="1"/>
  <c r="F30" i="4"/>
  <c r="C22" i="7" s="1"/>
  <c r="E30" i="4"/>
  <c r="G29" i="4"/>
  <c r="B21" i="7" s="1"/>
  <c r="E29" i="4"/>
  <c r="F29" i="4" s="1"/>
  <c r="C21" i="7" s="1"/>
  <c r="G28" i="4"/>
  <c r="B20" i="7" s="1"/>
  <c r="F28" i="4"/>
  <c r="C20" i="7" s="1"/>
  <c r="E28" i="4"/>
  <c r="G27" i="4"/>
  <c r="B19" i="7" s="1"/>
  <c r="E27" i="4"/>
  <c r="F27" i="4" s="1"/>
  <c r="C19" i="7" s="1"/>
  <c r="G26" i="4"/>
  <c r="B18" i="7" s="1"/>
  <c r="F26" i="4"/>
  <c r="C18" i="7" s="1"/>
  <c r="E26" i="4"/>
  <c r="G25" i="4"/>
  <c r="B17" i="7" s="1"/>
  <c r="E25" i="4"/>
  <c r="F25" i="4" s="1"/>
  <c r="C17" i="7" s="1"/>
  <c r="G24" i="4"/>
  <c r="B16" i="7" s="1"/>
  <c r="F24" i="4"/>
  <c r="C16" i="7" s="1"/>
  <c r="E24" i="4"/>
  <c r="G22" i="4"/>
  <c r="B14" i="7" s="1"/>
  <c r="E22" i="4"/>
  <c r="F22" i="4" s="1"/>
  <c r="C14" i="7" s="1"/>
  <c r="G21" i="4"/>
  <c r="B13" i="7" s="1"/>
  <c r="F21" i="4"/>
  <c r="C13" i="7" s="1"/>
  <c r="E21" i="4"/>
  <c r="G20" i="4"/>
  <c r="B12" i="7" s="1"/>
  <c r="E20" i="4"/>
  <c r="F20" i="4" s="1"/>
  <c r="C12" i="7" s="1"/>
  <c r="G19" i="4"/>
  <c r="B11" i="7" s="1"/>
  <c r="F19" i="4"/>
  <c r="C11" i="7" s="1"/>
  <c r="E19" i="4"/>
  <c r="G18" i="4"/>
  <c r="B10" i="7" s="1"/>
  <c r="E18" i="4"/>
  <c r="F18" i="4" s="1"/>
  <c r="C10" i="7" s="1"/>
  <c r="G17" i="4"/>
  <c r="B9" i="7" s="1"/>
  <c r="F17" i="4"/>
  <c r="C9" i="7" s="1"/>
  <c r="E17" i="4"/>
  <c r="G16" i="4"/>
  <c r="B8" i="7" s="1"/>
  <c r="E16" i="4"/>
  <c r="F16" i="4" s="1"/>
  <c r="C8" i="7" s="1"/>
  <c r="G15" i="4"/>
  <c r="B7" i="7" s="1"/>
  <c r="F15" i="4"/>
  <c r="C7" i="7" s="1"/>
  <c r="E15" i="4"/>
  <c r="G14" i="4"/>
  <c r="B6" i="7" s="1"/>
  <c r="E14" i="4"/>
  <c r="F14" i="4" s="1"/>
  <c r="C6" i="7" s="1"/>
  <c r="G13" i="4"/>
  <c r="B5" i="7" s="1"/>
  <c r="F13" i="4"/>
  <c r="C5" i="7" s="1"/>
  <c r="E13" i="4"/>
  <c r="G12" i="4"/>
  <c r="B4" i="7" s="1"/>
  <c r="E12" i="4"/>
  <c r="F12" i="4" s="1"/>
  <c r="C4" i="7" s="1"/>
  <c r="G11" i="4"/>
  <c r="B3" i="7" s="1"/>
  <c r="F11" i="4"/>
  <c r="C3" i="7" s="1"/>
  <c r="E11" i="4"/>
  <c r="G10" i="4"/>
  <c r="B2" i="7" s="1"/>
  <c r="E10" i="4"/>
  <c r="F10" i="4" s="1"/>
  <c r="C2" i="7" s="1"/>
  <c r="B5" i="3"/>
  <c r="A13" i="2"/>
  <c r="B7" i="8" l="1"/>
  <c r="B2" i="8"/>
  <c r="B4" i="8"/>
  <c r="B6" i="8"/>
  <c r="D8" i="8"/>
  <c r="D2" i="8"/>
  <c r="B3" i="8"/>
  <c r="D4" i="8"/>
  <c r="B5" i="8"/>
  <c r="D6" i="8"/>
  <c r="G5" i="8" l="1"/>
  <c r="E5" i="8"/>
  <c r="C5" i="8"/>
  <c r="F5" i="8"/>
  <c r="G3" i="8"/>
  <c r="C3" i="8"/>
  <c r="F3" i="8"/>
  <c r="F8" i="8"/>
  <c r="E8" i="8"/>
  <c r="G8" i="8"/>
  <c r="G6" i="8"/>
  <c r="E6" i="8"/>
  <c r="C6" i="8"/>
  <c r="F6" i="8"/>
  <c r="G9" i="8"/>
  <c r="B9" i="8"/>
  <c r="E3" i="8"/>
  <c r="G2" i="8"/>
  <c r="E2" i="8"/>
  <c r="C2" i="8"/>
  <c r="E9" i="8"/>
  <c r="K9" i="8" s="1"/>
  <c r="F4" i="8"/>
  <c r="F2" i="8"/>
  <c r="G4" i="8"/>
  <c r="E4" i="8"/>
  <c r="C4" i="8"/>
  <c r="G7" i="8"/>
  <c r="E7" i="8"/>
  <c r="C7" i="8"/>
  <c r="F7" i="8"/>
  <c r="M7" i="8" l="1"/>
  <c r="B39" i="5" s="1"/>
  <c r="K7" i="8"/>
  <c r="B24" i="6" s="1"/>
  <c r="C24" i="6"/>
  <c r="L7" i="8"/>
  <c r="H13" i="2"/>
  <c r="J7" i="8"/>
  <c r="B4" i="16"/>
  <c r="C4" i="16" s="1"/>
  <c r="C3" i="15"/>
  <c r="D3" i="15" s="1"/>
  <c r="M4" i="8"/>
  <c r="B36" i="5" s="1"/>
  <c r="K4" i="8"/>
  <c r="B21" i="6" s="1"/>
  <c r="C5" i="14"/>
  <c r="D5" i="14" s="1"/>
  <c r="J4" i="8"/>
  <c r="C21" i="6"/>
  <c r="L4" i="8"/>
  <c r="E13" i="2"/>
  <c r="C9" i="8"/>
  <c r="B14" i="8"/>
  <c r="K10" i="8" s="1"/>
  <c r="B9" i="5" s="1"/>
  <c r="B6" i="16"/>
  <c r="C6" i="16" s="1"/>
  <c r="C6" i="14"/>
  <c r="D6" i="14" s="1"/>
  <c r="M6" i="8"/>
  <c r="B38" i="5" s="1"/>
  <c r="K6" i="8"/>
  <c r="B23" i="6" s="1"/>
  <c r="J6" i="8"/>
  <c r="C23" i="6"/>
  <c r="C4" i="15"/>
  <c r="D4" i="15" s="1"/>
  <c r="L6" i="8"/>
  <c r="G13" i="2"/>
  <c r="M8" i="8"/>
  <c r="B40" i="5" s="1"/>
  <c r="K8" i="8"/>
  <c r="B25" i="6" s="1"/>
  <c r="C7" i="15"/>
  <c r="D7" i="15" s="1"/>
  <c r="J8" i="8"/>
  <c r="B7" i="16"/>
  <c r="C7" i="16" s="1"/>
  <c r="L8" i="8"/>
  <c r="C25" i="6"/>
  <c r="C7" i="14"/>
  <c r="D7" i="14" s="1"/>
  <c r="I13" i="2"/>
  <c r="C4" i="14"/>
  <c r="D4" i="14" s="1"/>
  <c r="M5" i="8"/>
  <c r="B37" i="5" s="1"/>
  <c r="K5" i="8"/>
  <c r="B22" i="6" s="1"/>
  <c r="C22" i="6"/>
  <c r="C2" i="15"/>
  <c r="L5" i="8"/>
  <c r="F13" i="2"/>
  <c r="B5" i="16"/>
  <c r="C5" i="16" s="1"/>
  <c r="J5" i="8"/>
  <c r="B44" i="8"/>
  <c r="B15" i="8"/>
  <c r="B13" i="8"/>
  <c r="L10" i="8" s="1"/>
  <c r="B11" i="8"/>
  <c r="B2" i="16"/>
  <c r="C5" i="15"/>
  <c r="D5" i="15" s="1"/>
  <c r="C2" i="14"/>
  <c r="B28" i="8"/>
  <c r="B29" i="8" s="1"/>
  <c r="B30" i="6" s="1"/>
  <c r="B25" i="8"/>
  <c r="C25" i="8" s="1"/>
  <c r="M2" i="8"/>
  <c r="B34" i="5" s="1"/>
  <c r="K2" i="8"/>
  <c r="B19" i="6" s="1"/>
  <c r="C6" i="15"/>
  <c r="D6" i="15" s="1"/>
  <c r="B23" i="8"/>
  <c r="B24" i="8" s="1"/>
  <c r="J2" i="8"/>
  <c r="C19" i="6"/>
  <c r="C3" i="14"/>
  <c r="D3" i="14" s="1"/>
  <c r="B43" i="8"/>
  <c r="B12" i="8"/>
  <c r="E4" i="5" s="1"/>
  <c r="L2" i="8"/>
  <c r="C13" i="2"/>
  <c r="B10" i="6"/>
  <c r="E8" i="5"/>
  <c r="B21" i="8"/>
  <c r="M3" i="8"/>
  <c r="B35" i="5" s="1"/>
  <c r="K3" i="8"/>
  <c r="B20" i="6" s="1"/>
  <c r="C20" i="6"/>
  <c r="L3" i="8"/>
  <c r="D13" i="2"/>
  <c r="B26" i="8"/>
  <c r="B27" i="8" s="1"/>
  <c r="J3" i="8"/>
  <c r="B10" i="8" l="1"/>
  <c r="B5" i="9"/>
  <c r="E3" i="5"/>
  <c r="B16" i="8"/>
  <c r="B11" i="6"/>
  <c r="B3" i="9"/>
  <c r="B33" i="8"/>
  <c r="B29" i="6" s="1"/>
  <c r="B32" i="8"/>
  <c r="B28" i="6" s="1"/>
  <c r="B12" i="6"/>
  <c r="D2" i="15"/>
  <c r="C9" i="15"/>
  <c r="B4" i="9"/>
  <c r="C21" i="8"/>
  <c r="E5" i="5" s="1"/>
  <c r="B13" i="6"/>
  <c r="B15" i="6"/>
  <c r="E7" i="5"/>
  <c r="D2" i="14"/>
  <c r="C9" i="14"/>
  <c r="C2" i="16"/>
  <c r="B17" i="8" l="1"/>
  <c r="B43" i="5" s="1"/>
  <c r="B18" i="8"/>
  <c r="B14" i="6"/>
  <c r="B42" i="5"/>
  <c r="C5" i="9"/>
  <c r="D9" i="14"/>
  <c r="B45" i="8"/>
  <c r="C4" i="9"/>
  <c r="C3" i="9"/>
  <c r="D9" i="15"/>
  <c r="B46" i="8"/>
  <c r="B3" i="16"/>
  <c r="B31" i="8"/>
  <c r="E9" i="5" s="1"/>
  <c r="B22" i="8"/>
  <c r="G4" i="9" s="1" a="1"/>
  <c r="G4" i="9" s="1"/>
  <c r="B19" i="8"/>
  <c r="B45" i="5" s="1"/>
  <c r="L9" i="8"/>
  <c r="B8" i="5"/>
  <c r="B30" i="8"/>
  <c r="B16" i="6" s="1"/>
  <c r="B13" i="2"/>
  <c r="B16" i="2" s="1"/>
  <c r="B17" i="2" s="1"/>
  <c r="B20" i="8"/>
  <c r="B46" i="5" s="1"/>
  <c r="B9" i="6"/>
  <c r="F3" i="9" l="1" a="1"/>
  <c r="F3" i="9" s="1"/>
  <c r="G3" i="9" a="1"/>
  <c r="G3" i="9" s="1"/>
  <c r="B44" i="5"/>
  <c r="B31" i="6"/>
  <c r="A41" i="6"/>
  <c r="E6" i="5"/>
  <c r="E5" i="9"/>
  <c r="E3" i="9"/>
  <c r="E4" i="9"/>
  <c r="B33" i="9" a="1"/>
  <c r="B33" i="9" s="1"/>
  <c r="B32" i="9" a="1"/>
  <c r="B32" i="9" s="1"/>
  <c r="B31" i="9" a="1"/>
  <c r="B31" i="9" s="1"/>
  <c r="B30" i="9" a="1"/>
  <c r="B30" i="9" s="1"/>
  <c r="B29" i="9" a="1"/>
  <c r="B29" i="9" s="1"/>
  <c r="B28" i="9" a="1"/>
  <c r="B28" i="9" s="1"/>
  <c r="B27" i="9" a="1"/>
  <c r="B27" i="9" s="1"/>
  <c r="B26" i="9" a="1"/>
  <c r="B26" i="9" s="1"/>
  <c r="B25" i="9" a="1"/>
  <c r="B25" i="9" s="1"/>
  <c r="B24" i="9" a="1"/>
  <c r="B24" i="9" s="1"/>
  <c r="B23" i="9" a="1"/>
  <c r="B23" i="9" s="1"/>
  <c r="B22" i="9" a="1"/>
  <c r="B22" i="9" s="1"/>
  <c r="B17" i="9" a="1"/>
  <c r="B17" i="9" s="1"/>
  <c r="B16" i="9" a="1"/>
  <c r="B16" i="9" s="1"/>
  <c r="B38" i="6" s="1"/>
  <c r="B15" i="9" a="1"/>
  <c r="B15" i="9" s="1"/>
  <c r="B37" i="6" s="1"/>
  <c r="B14" i="9" a="1"/>
  <c r="B14" i="9" s="1"/>
  <c r="B36" i="6" s="1"/>
  <c r="B13" i="9" a="1"/>
  <c r="B13" i="9" s="1"/>
  <c r="B35" i="6" s="1"/>
  <c r="C24" i="9" a="1"/>
  <c r="C24" i="9" s="1"/>
  <c r="C22" i="9" a="1"/>
  <c r="C22" i="9" s="1"/>
  <c r="C16" i="9" a="1"/>
  <c r="C16" i="9" s="1"/>
  <c r="C38" i="6" s="1"/>
  <c r="C14" i="9" a="1"/>
  <c r="C14" i="9" s="1"/>
  <c r="C36" i="6" s="1"/>
  <c r="C33" i="9" a="1"/>
  <c r="C33" i="9" s="1"/>
  <c r="C32" i="9" a="1"/>
  <c r="C32" i="9" s="1"/>
  <c r="C31" i="9" a="1"/>
  <c r="C31" i="9" s="1"/>
  <c r="C30" i="9" a="1"/>
  <c r="C30" i="9" s="1"/>
  <c r="C29" i="9" a="1"/>
  <c r="C29" i="9" s="1"/>
  <c r="C28" i="9" a="1"/>
  <c r="C28" i="9" s="1"/>
  <c r="C27" i="9" a="1"/>
  <c r="C27" i="9" s="1"/>
  <c r="C26" i="9" a="1"/>
  <c r="C26" i="9" s="1"/>
  <c r="C25" i="9" a="1"/>
  <c r="C25" i="9" s="1"/>
  <c r="C23" i="9" a="1"/>
  <c r="C23" i="9" s="1"/>
  <c r="C17" i="9" a="1"/>
  <c r="C17" i="9" s="1"/>
  <c r="C15" i="9" a="1"/>
  <c r="C15" i="9" s="1"/>
  <c r="C37" i="6" s="1"/>
  <c r="C13" i="9" a="1"/>
  <c r="C13" i="9" s="1"/>
  <c r="C35" i="6" s="1"/>
  <c r="C3" i="16"/>
  <c r="C9" i="16" s="1"/>
  <c r="B47" i="8" s="1"/>
  <c r="C10" i="16"/>
  <c r="F4" i="9" a="1"/>
  <c r="F4" i="9" s="1"/>
  <c r="F5" i="9" a="1"/>
  <c r="F5" i="9" s="1"/>
  <c r="G5" i="9" a="1"/>
  <c r="G5" i="9" s="1"/>
</calcChain>
</file>

<file path=xl/sharedStrings.xml><?xml version="1.0" encoding="utf-8"?>
<sst xmlns="http://schemas.openxmlformats.org/spreadsheetml/2006/main" count="1258" uniqueCount="736">
  <si>
    <t>LOLA  —  Система оценки развития ребёнка от 0 до 7 лет</t>
  </si>
  <si>
    <t xml:space="preserve">  © 2026 Rabiga Sagyndykova · LOLA System · Все права защищены · Запрещена перепродажа</t>
  </si>
  <si>
    <t xml:space="preserve">  Добро пожаловать! Следуйте трём шагам ниже.</t>
  </si>
  <si>
    <t>1</t>
  </si>
  <si>
    <t xml:space="preserve">  ПАСПОРТ — введите данные ребёнка</t>
  </si>
  <si>
    <t xml:space="preserve">  Перейдите на лист «ПАСПОРТ» и заполните:
  • Имя ребёнка
  • Дату рождения
  • Дату сегодняшней оценки
  • Режим: Нормативный (типичное развитие) или Терапевтический (ОВЗ)</t>
  </si>
  <si>
    <t>2</t>
  </si>
  <si>
    <t xml:space="preserve">  ЧЕК-ЛИСТЫ — оцените навыки ребёнка</t>
  </si>
  <si>
    <t xml:space="preserve">  Откройте лист соответствующего возраста (0-1, 1-2 … 6-7).
  Для каждого навыка поставьте в столбец D оценку:
     2 — выполняет уверенно, всегда
     1 — выполняет частично или иногда
     0 — пока не выполняет
  Столбец H содержит подсказку — что именно считается выполненным.</t>
  </si>
  <si>
    <t>3</t>
  </si>
  <si>
    <t xml:space="preserve">  РЕЗУЛЬТАТЫ — читайте профиль и план</t>
  </si>
  <si>
    <t xml:space="preserve">  После заполнения чек-листов всё считается автоматически:
  • Лист «РЕЗУЛЬТАТЫ» → профиль по 7 сферам + интерпретация
  • Лист «ПЛАН развития» → упражнения по слабой сфере
  • Лист «ИТОГОВЫЙ ОТЧЁТ» → одна страница для распечатки и специалиста</t>
  </si>
  <si>
    <t xml:space="preserve">  ВАЖНАЯ ИНФОРМАЦИЯ</t>
  </si>
  <si>
    <t xml:space="preserve">  ⚠  Файл предназначен для одного ребёнка.
  При оценке второго ребёнка — сделайте копию файла.
  ⚠  Результаты носят ориентировочный характер
  и не заменяют консультацию специалиста.</t>
  </si>
  <si>
    <t xml:space="preserve">  ✓  Обновление упражнений: нажмите F9
  ✓  Технические листы скрыты.
  Не удаляйте их — это «двигатель» системы.
  ✓  Динамика роста → лист «ИНСТРУКЦИЯ»</t>
  </si>
  <si>
    <t xml:space="preserve">  © 2026 Rabiga Sagyndykova  ·  LOLA System  ·  Запрещена перепродажа и передача третьим лицам</t>
  </si>
  <si>
    <t>Результаты оценки носят ориентировочный характер и не заменяют консультацию специалиста. Отдельно: нормы по сенсорному развитию и по возрастным группам после 5 лет опираются на менее устоявшуюся доказательную базу, чем остальные сферы — относитесь к ним особенно ориентировочно.</t>
  </si>
  <si>
    <t>Как провести оценку</t>
  </si>
  <si>
    <t>1. Заполните паспорт ребёнка.</t>
  </si>
  <si>
    <t>2. Оцените навыки на возрастных листах.</t>
  </si>
  <si>
    <t>3. Посмотрите результаты на листе **Результаты**.</t>
  </si>
  <si>
    <t>4. Обратите внимание на:</t>
  </si>
  <si>
    <t>* слабые сферы</t>
  </si>
  <si>
    <t xml:space="preserve"> * рекомендации</t>
  </si>
  <si>
    <t>* динамику развития</t>
  </si>
  <si>
    <t>Повторяйте оценку каждые **3–6 месяцев**, чтобы отслеживать прогресс развития.</t>
  </si>
  <si>
    <t>Оценка динамики развития во времени</t>
  </si>
  <si>
    <t>Дата оценки</t>
  </si>
  <si>
    <t>Средний индекс</t>
  </si>
  <si>
    <t>Физика</t>
  </si>
  <si>
    <t>Моторика</t>
  </si>
  <si>
    <t>Речь</t>
  </si>
  <si>
    <t>Когнитив</t>
  </si>
  <si>
    <t>Эмоции</t>
  </si>
  <si>
    <t>Социал</t>
  </si>
  <si>
    <t>самообслуживание</t>
  </si>
  <si>
    <t>Норма (90%)</t>
  </si>
  <si>
    <t>Показатель прогресса</t>
  </si>
  <si>
    <t>Интерпретация</t>
  </si>
  <si>
    <t>График показан на листе Результаты. Просто меняйте данные в таблице.</t>
  </si>
  <si>
    <t>Когда родитель делает повторную диагностику:</t>
  </si>
  <si>
    <t>1️⃣ копирует строку</t>
  </si>
  <si>
    <t>2️⃣ вставляет ниже</t>
  </si>
  <si>
    <t>3️⃣ «Специальная вставка → значения»</t>
  </si>
  <si>
    <t>Так сохраняется история</t>
  </si>
  <si>
    <t>имя ребенка</t>
  </si>
  <si>
    <t>дата рождения</t>
  </si>
  <si>
    <t>дата оценки</t>
  </si>
  <si>
    <t>Фактический возраст (мес.)</t>
  </si>
  <si>
    <t>Режим работы:</t>
  </si>
  <si>
    <t>Нормативный</t>
  </si>
  <si>
    <t>(Нормативный — для типично развивающихся детей; Терапевтический — для детей с ОВЗ)</t>
  </si>
  <si>
    <t>ЧЕК-ЛИСТ РАЗВИТИЯ РЕБЁНКА 0–12 МЕСЯЦЕВ</t>
  </si>
  <si>
    <t>*с возрастными нормативами и автоподсчетом</t>
  </si>
  <si>
    <t>Шкала оценки (единая)</t>
  </si>
  <si>
    <t>0 — навык отсутствует</t>
  </si>
  <si>
    <t>1 — формируется / нестабильно</t>
  </si>
  <si>
    <t>2 — сформирован</t>
  </si>
  <si>
    <t>Навык считается освоенным, если: E ≥ 80%</t>
  </si>
  <si>
    <t>Сфера</t>
  </si>
  <si>
    <t>Навык</t>
  </si>
  <si>
    <t>Норма (мес.)</t>
  </si>
  <si>
    <t>Оценка (0-2)</t>
  </si>
  <si>
    <t>% освоения</t>
  </si>
  <si>
    <t>засчитан/нет</t>
  </si>
  <si>
    <t>ср.норма</t>
  </si>
  <si>
    <t>Пояснение</t>
  </si>
  <si>
    <t>ФИЗИЧЕСКОЕ И КРУПНОМОТОРНОЕ РАЗВИТИЕ</t>
  </si>
  <si>
    <t>Удерживает голову лёжа на животе</t>
  </si>
  <si>
    <t>2-3</t>
  </si>
  <si>
    <t>Лёжа на животе поднимает голову на 45° и удерживает хотя бы 3–5 секунд</t>
  </si>
  <si>
    <t>Поднимает голову и грудь</t>
  </si>
  <si>
    <t>Опираясь на предплечья, поднимает голову и верхнюю часть груди</t>
  </si>
  <si>
    <t>Переворачивается с живота на спину</t>
  </si>
  <si>
    <t>3-4</t>
  </si>
  <si>
    <t>Из положения на животе переворачивается на спину — хотя бы один раз самостоятельно</t>
  </si>
  <si>
    <t>Переворачивается со спины на живот</t>
  </si>
  <si>
    <t>4-5</t>
  </si>
  <si>
    <t>Из положения на спине переворачивается на живот без посторонней помощи</t>
  </si>
  <si>
    <t>Уверенно держит голову вертикально</t>
  </si>
  <si>
    <t>Голова не падает вперёд/назад при вертикальном положении, удерживает стабильно</t>
  </si>
  <si>
    <t>Сидит с поддержкой</t>
  </si>
  <si>
    <t>5-6</t>
  </si>
  <si>
    <t>Сидит при поддержке за туловище или спину, не заваливается</t>
  </si>
  <si>
    <t>Сидит без поддержки</t>
  </si>
  <si>
    <t>6-7</t>
  </si>
  <si>
    <t>Сидит на ровной поверхности без поддержки не менее 10–15 секунд</t>
  </si>
  <si>
    <t>Ползает (любой способ)</t>
  </si>
  <si>
    <t>7-9</t>
  </si>
  <si>
    <t>Передвигается на четвереньках, на животе или по-пластунски — любым способом</t>
  </si>
  <si>
    <t>Самостоятельно меняет позу</t>
  </si>
  <si>
    <t>6-8</t>
  </si>
  <si>
    <t>Самостоятельно переходит из одной позы в другую: сидя → лёжа → сидя</t>
  </si>
  <si>
    <t>Встаёт, держась за опору</t>
  </si>
  <si>
    <t>8-9</t>
  </si>
  <si>
    <t>Опираясь на мебель или руки взрослого, подтягивается и встаёт на ноги</t>
  </si>
  <si>
    <t>Делает шаги у опоры</t>
  </si>
  <si>
    <t>9-11</t>
  </si>
  <si>
    <t>Идёт вдоль опоры (диван, столик), держась руками</t>
  </si>
  <si>
    <t>Стоит без опоры</t>
  </si>
  <si>
    <t>10-11</t>
  </si>
  <si>
    <t>Стоит самостоятельно без опоры хотя бы несколько секунд</t>
  </si>
  <si>
    <t>Ходит самостоятельно</t>
  </si>
  <si>
    <t>11-13</t>
  </si>
  <si>
    <t>Делает несколько самостоятельных шагов без опоры</t>
  </si>
  <si>
    <t>МЕЛКАЯ МОТОРИКА</t>
  </si>
  <si>
    <t>Мелкая моторика</t>
  </si>
  <si>
    <t>Сжимает предмет в ладони</t>
  </si>
  <si>
    <t>При касании ладони рефлекторно или осознанно сжимает пальцы вокруг предмета</t>
  </si>
  <si>
    <t>Удерживает предмет 5–10 сек</t>
  </si>
  <si>
    <t>Держит вложенную погремушку или палочку в кулаке 5–10 секунд без выронения</t>
  </si>
  <si>
    <t>Целенаправленно тянется к предмету</t>
  </si>
  <si>
    <t>Видя игрушку, тянется к ней рукой — движение направленное, а не случайное</t>
  </si>
  <si>
    <t>Перекладывает предмет из руки в руку</t>
  </si>
  <si>
    <t>Берёт предмет из одной руки и перекладывает в другую осознанно</t>
  </si>
  <si>
    <t>Стучит предметами</t>
  </si>
  <si>
    <t>Берёт два предмета и стучит ими друг о друга или о поверхность</t>
  </si>
  <si>
    <t>Манипулирует игрушкой</t>
  </si>
  <si>
    <t>Трясёт, мнёт, бросает, исследует игрушку разными способами</t>
  </si>
  <si>
    <t>Пинцетный захват</t>
  </si>
  <si>
    <t>9-10</t>
  </si>
  <si>
    <t>Берёт мелкий предмет (горошина, крошка) большим и указательным пальцами</t>
  </si>
  <si>
    <t>Указывает пальцем</t>
  </si>
  <si>
    <t>10-12</t>
  </si>
  <si>
    <t>Направляет вытянутый указательный палец в сторону предмета или человека</t>
  </si>
  <si>
    <t>СЕНСОРНОЕ РАЗВИТИЕ</t>
  </si>
  <si>
    <t>Сенсорика</t>
  </si>
  <si>
    <t>Фиксирует взгляд на лице</t>
  </si>
  <si>
    <t>1-2</t>
  </si>
  <si>
    <t>Смотрит в глаза взрослому, задерживает взгляд на лице 3–5 секунд</t>
  </si>
  <si>
    <t>Следит за движущимся предметом</t>
  </si>
  <si>
    <t>Глазами следит за медленно движущимся предметом — влево, вправо, по кругу</t>
  </si>
  <si>
    <t>Реагирует на звук</t>
  </si>
  <si>
    <t>Вздрагивает, замирает или поворачивает голову в ответ на звук</t>
  </si>
  <si>
    <t>Поворачивает голову на звук</t>
  </si>
  <si>
    <t>Поворачивает голову в сторону источника звука (голос, погремушка)</t>
  </si>
  <si>
    <t>Узнаёт голос близкого</t>
  </si>
  <si>
    <t>Успокаивается или оживляется, услышав голос мамы/папы среди других голосов</t>
  </si>
  <si>
    <t>Исследует предметы ртом</t>
  </si>
  <si>
    <t>4-6</t>
  </si>
  <si>
    <t>Тянет предметы в рот, исследует их языком и дёснами — активно и целенаправленно</t>
  </si>
  <si>
    <t>Различает знакомые и новые объекты</t>
  </si>
  <si>
    <t>6-9</t>
  </si>
  <si>
    <t>Смотрит дольше или с интересом на новый незнакомый предмет</t>
  </si>
  <si>
    <t>РЕЧЬ И КОММУНИКАЦИЯ</t>
  </si>
  <si>
    <t>Гулит</t>
  </si>
  <si>
    <t>Произносит протяжные гласные звуки: «а-а», «у-у», «о-о» — не плач, а «пение»</t>
  </si>
  <si>
    <t>Лепечет</t>
  </si>
  <si>
    <t>Произносит цепочки слогов: «ба-ба-ба», «да-да», «ма-ма» — не обязательно осмысленно</t>
  </si>
  <si>
    <t>Реагирует на имя</t>
  </si>
  <si>
    <t>Поворачивает голову, смотрит или меняет поведение, услышав своё имя</t>
  </si>
  <si>
    <t>Понимает интонацию запрета</t>
  </si>
  <si>
    <t>Меняет поведение на запретный тон голоса — останавливается или замирает</t>
  </si>
  <si>
    <t>Понимает простые слова</t>
  </si>
  <si>
    <t>Понимает слова «дай», «нет», «иди сюда» — реагирует действием без жеста</t>
  </si>
  <si>
    <t>Использует жесты (дай, пока)</t>
  </si>
  <si>
    <t>8-10</t>
  </si>
  <si>
    <t>Машет рукой «пока», тянет руки «дай», качает головой «нет» осмысленно</t>
  </si>
  <si>
    <t>Произносит осмысленные слоги</t>
  </si>
  <si>
    <t>Произносит слоги с явным намерением: «ма» глядя на маму, «дай» тянясь к предмету</t>
  </si>
  <si>
    <t>Говорит первые слова</t>
  </si>
  <si>
    <t>10-14</t>
  </si>
  <si>
    <t>Использует 1–3 слова осмысленно и стабильно: мама, папа, дай, на, ав</t>
  </si>
  <si>
    <t>КОГНИТИВНОЕ (ПОЗНАВАТЕЛЬНОЕ) РАЗВИТИЕ</t>
  </si>
  <si>
    <t>Проявляет интерес к новому</t>
  </si>
  <si>
    <t>Поворачивает голову к новому предмету, тянется к нему, рассматривает</t>
  </si>
  <si>
    <t>Ищет исчезнувший предмет</t>
  </si>
  <si>
    <t>Ищет предмет, накрытый платком прямо на глазах — поднимает или тянется</t>
  </si>
  <si>
    <t>Понимает причинно-следственные связи</t>
  </si>
  <si>
    <t>Нажимает кнопку — ждёт звука; бросает — ждёт падения; понимает «если-то»</t>
  </si>
  <si>
    <t>Повторяет действия взрослого</t>
  </si>
  <si>
    <t>Копирует простое действие взрослого: хлопает в ладоши, машет рукой</t>
  </si>
  <si>
    <t>Использует предмет по назначению</t>
  </si>
  <si>
    <t>9-12</t>
  </si>
  <si>
    <t>Подносит ложку ко рту, чашку к губам, расчёску к голове — правильно</t>
  </si>
  <si>
    <t>ЭМОЦИОНАЛЬНОЕ РАЗВИТИЕ</t>
  </si>
  <si>
    <t>Социальная улыбка</t>
  </si>
  <si>
    <t>Улыбается в ответ на улыбку взрослого, а не только от физического комфорта</t>
  </si>
  <si>
    <t>Выражает радость</t>
  </si>
  <si>
    <t>Смеётся, оживлённо двигается при игре или приятном взаимодействии</t>
  </si>
  <si>
    <t>Выражает недовольство</t>
  </si>
  <si>
    <t>Плачет или хнычет при дискомфорте, голоде, скуке — различимо по ситуации</t>
  </si>
  <si>
    <t>Различает своих и чужих</t>
  </si>
  <si>
    <t>Тянется к знакомым людям, напрягается или плачет при незнакомых</t>
  </si>
  <si>
    <t>Проявляет привязанность</t>
  </si>
  <si>
    <t>Тянется к маме/папе, успокаивается на руках у близкого человека</t>
  </si>
  <si>
    <t>Успокаивается с помощью взрослого</t>
  </si>
  <si>
    <t>8-12</t>
  </si>
  <si>
    <t>Прекращает плакать, когда взрослый берёт на руки, разговаривает или успокаивает</t>
  </si>
  <si>
    <t>СОЦИАЛЬНОЕ РАЗВИТИЕ</t>
  </si>
  <si>
    <t>Устанавливает зрительный контакт</t>
  </si>
  <si>
    <t>Смотрит в глаза взрослому в течение нескольких секунд, не отводя взгляд</t>
  </si>
  <si>
    <t>Улыбается в ответ</t>
  </si>
  <si>
    <t>Отвечает улыбкой на улыбку взрослого — не просто гримасничает</t>
  </si>
  <si>
    <t>Инициирует общение</t>
  </si>
  <si>
    <t>Гулит, улыбается, смотрит — привлекая внимание взрослого самостоятельно</t>
  </si>
  <si>
    <t>Играет в простые игры (ладушки)</t>
  </si>
  <si>
    <t>Хлопает в ладоши в ответ на «ладушки», машет «пока» по просьбе</t>
  </si>
  <si>
    <t>Проявляет интерес к другим детям</t>
  </si>
  <si>
    <t>Наблюдает за другим ребёнком, тянется к нему, улыбается</t>
  </si>
  <si>
    <t>Паспорт ребенка</t>
  </si>
  <si>
    <t>Сильная и слабая стороны</t>
  </si>
  <si>
    <t>Как интерпретировать результаты</t>
  </si>
  <si>
    <t>Поле</t>
  </si>
  <si>
    <t>Значение</t>
  </si>
  <si>
    <t>Показатель</t>
  </si>
  <si>
    <t>Формула</t>
  </si>
  <si>
    <t>90–100% — возрастная норма</t>
  </si>
  <si>
    <t>Имя</t>
  </si>
  <si>
    <t xml:space="preserve">Сильная сфера </t>
  </si>
  <si>
    <t>75–89% — небольшое отставание</t>
  </si>
  <si>
    <t>Возраст</t>
  </si>
  <si>
    <t xml:space="preserve">Зона развития </t>
  </si>
  <si>
    <t>50–74% — умеренная задержка</t>
  </si>
  <si>
    <t>Зона ближайшего развития</t>
  </si>
  <si>
    <t>&lt;50% — выраженное отставание</t>
  </si>
  <si>
    <t>Общий вывод</t>
  </si>
  <si>
    <t>* Паучок показывает структуру развития                                                   * Столбчатая диаграмма показывает % от нормы                      * Сильная сфера — опора для развития                                                 * Слабая — приоритет работы</t>
  </si>
  <si>
    <t>Режим</t>
  </si>
  <si>
    <t>Индекс гармоничности развития</t>
  </si>
  <si>
    <t>Средний уровень развития</t>
  </si>
  <si>
    <t>Функциональный уровень развития</t>
  </si>
  <si>
    <t>Отставание от нормы</t>
  </si>
  <si>
    <t>Рекомендация</t>
  </si>
  <si>
    <t>*Паучок показывает структуру развития: чем более ровная фигура, тем гармоничнее развитие.</t>
  </si>
  <si>
    <t>*Провалы указывают на зоны, требующие поддержки.</t>
  </si>
  <si>
    <t>*Столбцы показывают уровень развития навыков относительно возрастной нормы.</t>
  </si>
  <si>
    <t>*Красная линия обозначает границу возрастной нормы (90%).</t>
  </si>
  <si>
    <t>Повторяйте оценку каждые 3–6 месяцев, чтобы отслеживать прогресс развития.</t>
  </si>
  <si>
    <t>РЕКОМЕНДАЦИИ ПО РАЗВИТИЮ</t>
  </si>
  <si>
    <t>Профиль развития ребенка</t>
  </si>
  <si>
    <t>Объяснение</t>
  </si>
  <si>
    <t>Стратегия развития</t>
  </si>
  <si>
    <t>Темп развития</t>
  </si>
  <si>
    <t>Прогноз развития</t>
  </si>
  <si>
    <t>ИТОГОВЫЙ ОТЧЁТ ОБ ОЦЕНКЕ РАЗВИТИЯ РЕБЁНКА</t>
  </si>
  <si>
    <t>ПАСПОРТ</t>
  </si>
  <si>
    <t>Имя ребёнка</t>
  </si>
  <si>
    <t>Возраст ребёнка (мес.)</t>
  </si>
  <si>
    <t>Режим оценки</t>
  </si>
  <si>
    <t>ПРОФИЛЬ РАЗВИТИЯ</t>
  </si>
  <si>
    <t>Средний индекс развития</t>
  </si>
  <si>
    <t>Возраст развития (диапазон)</t>
  </si>
  <si>
    <t>Сильная сфера</t>
  </si>
  <si>
    <t>Слабая сфера (приоритет)</t>
  </si>
  <si>
    <t>Тип профиля</t>
  </si>
  <si>
    <t>Уровень гармоничности</t>
  </si>
  <si>
    <t>Оценка риска</t>
  </si>
  <si>
    <t>ОЦЕНКА ПО СФЕРАМ</t>
  </si>
  <si>
    <t>Уровень</t>
  </si>
  <si>
    <t>% нормы</t>
  </si>
  <si>
    <t>РЕКОМЕНДАЦИИ</t>
  </si>
  <si>
    <t>Рекомендуемый специалист</t>
  </si>
  <si>
    <t>Рекомендуемая терапия</t>
  </si>
  <si>
    <t>Нагрузка занятий</t>
  </si>
  <si>
    <t>ПЛАН НА НЕДЕЛЮ (случайный выбор)</t>
  </si>
  <si>
    <t>Упражнение</t>
  </si>
  <si>
    <t>Описание</t>
  </si>
  <si>
    <t>Понедельник</t>
  </si>
  <si>
    <t>Вторник</t>
  </si>
  <si>
    <t>Среда</t>
  </si>
  <si>
    <t>Четверг</t>
  </si>
  <si>
    <t>Пятница</t>
  </si>
  <si>
    <t>СВОДНЫЙ ВЫВОД</t>
  </si>
  <si>
    <t>* Результаты носят ориентировочный характер и не заменяют консультацию специалиста.</t>
  </si>
  <si>
    <t xml:space="preserve"> Сфера</t>
  </si>
  <si>
    <t>Средняя норма</t>
  </si>
  <si>
    <t>Засчитан</t>
  </si>
  <si>
    <t xml:space="preserve">Возрастной лист </t>
  </si>
  <si>
    <t>Вес</t>
  </si>
  <si>
    <t>Самообслуживание</t>
  </si>
  <si>
    <t>Возраст развития (мес.)</t>
  </si>
  <si>
    <t>Возраст развития (годы)</t>
  </si>
  <si>
    <t>Разница (мес.)</t>
  </si>
  <si>
    <t>% от возраста</t>
  </si>
  <si>
    <t>Отставание (годы)</t>
  </si>
  <si>
    <t>Норма</t>
  </si>
  <si>
    <t>Вес сферы</t>
  </si>
  <si>
    <t>Взвешенный процент</t>
  </si>
  <si>
    <t xml:space="preserve">Уровень </t>
  </si>
  <si>
    <t>Краткий вывод</t>
  </si>
  <si>
    <t>Норма 90%</t>
  </si>
  <si>
    <t>средний возраст развития</t>
  </si>
  <si>
    <t>Мин.возраст</t>
  </si>
  <si>
    <t>Макс.возраст</t>
  </si>
  <si>
    <t>Рекомендации носят ориентировочный характер и не заменяют консультацию специалиста. Регулярно повторяйте оценку (раз в 3–6 месяцев), чтобы отслеживать динамику развития.</t>
  </si>
  <si>
    <t xml:space="preserve">Сильная сторона </t>
  </si>
  <si>
    <t>ЦВЕТОВАЯ МАРКИРОВКА СФЕР</t>
  </si>
  <si>
    <t xml:space="preserve">Зона наибольшего внимания </t>
  </si>
  <si>
    <t xml:space="preserve">%   </t>
  </si>
  <si>
    <t>Цвет</t>
  </si>
  <si>
    <t>Смысл</t>
  </si>
  <si>
    <t>Разница % от возраста</t>
  </si>
  <si>
    <t xml:space="preserve">≥ 90%  </t>
  </si>
  <si>
    <t>зеленый</t>
  </si>
  <si>
    <t>возрастная норма</t>
  </si>
  <si>
    <t>Разница с возрастной нормой</t>
  </si>
  <si>
    <t xml:space="preserve">75–89% </t>
  </si>
  <si>
    <t>желтый</t>
  </si>
  <si>
    <t>легкое отставание</t>
  </si>
  <si>
    <t>Приоритет работы (самая слабая сфера)</t>
  </si>
  <si>
    <t xml:space="preserve">50–74% </t>
  </si>
  <si>
    <t>оранжевый</t>
  </si>
  <si>
    <t xml:space="preserve">умеренное </t>
  </si>
  <si>
    <t xml:space="preserve">&lt; 50%  </t>
  </si>
  <si>
    <t>красный</t>
  </si>
  <si>
    <t>выраженное</t>
  </si>
  <si>
    <t>Объяснение профиля</t>
  </si>
  <si>
    <t>Оценка темпа развития</t>
  </si>
  <si>
    <t>ЗБР</t>
  </si>
  <si>
    <t>Уровень развития</t>
  </si>
  <si>
    <t>Индекс потенциала развития</t>
  </si>
  <si>
    <t>Индекс функциональной независимости</t>
  </si>
  <si>
    <t>Интерпретация индекса ф.нез.</t>
  </si>
  <si>
    <t xml:space="preserve">индекс корр.нагрузки </t>
  </si>
  <si>
    <t>Рекомендация по занятиям</t>
  </si>
  <si>
    <t>Уровень риска</t>
  </si>
  <si>
    <t>динамика развития</t>
  </si>
  <si>
    <t>дата</t>
  </si>
  <si>
    <t>средний индекс</t>
  </si>
  <si>
    <t>%</t>
  </si>
  <si>
    <t>2-й приоритет (2-я слабая сфера)</t>
  </si>
  <si>
    <t>3-й приоритет (3-я слабая сфера)</t>
  </si>
  <si>
    <t>Наиболее уязвимая нейрофункция</t>
  </si>
  <si>
    <t>Наиболее уязвимая сенсорная система</t>
  </si>
  <si>
    <t>Возможные причины трудностей</t>
  </si>
  <si>
    <t>Для обновления плана нажмите функциональную клавишу F9</t>
  </si>
  <si>
    <t>Направление</t>
  </si>
  <si>
    <t>Что развиваем</t>
  </si>
  <si>
    <t>Рекомендации</t>
  </si>
  <si>
    <t>Частота</t>
  </si>
  <si>
    <t>Рекомендуемое упражнение</t>
  </si>
  <si>
    <t>Описание упражнения</t>
  </si>
  <si>
    <t>Приоритет развития</t>
  </si>
  <si>
    <t>Опорная сфера</t>
  </si>
  <si>
    <t>ПЛАН НА НЕДЕЛЮ</t>
  </si>
  <si>
    <t>День</t>
  </si>
  <si>
    <t>ПЛАН НА 3 МЕСЯЦА</t>
  </si>
  <si>
    <t>Неделя</t>
  </si>
  <si>
    <t>Неделя 1</t>
  </si>
  <si>
    <t>Неделя 2</t>
  </si>
  <si>
    <t>Неделя 3</t>
  </si>
  <si>
    <t>Неделя 4</t>
  </si>
  <si>
    <t>Неделя 5</t>
  </si>
  <si>
    <t>Неделя 6</t>
  </si>
  <si>
    <t>Неделя 7</t>
  </si>
  <si>
    <t>Неделя 8</t>
  </si>
  <si>
    <t>Неделя 9</t>
  </si>
  <si>
    <t>Неделя 10</t>
  </si>
  <si>
    <t>Неделя 11</t>
  </si>
  <si>
    <t>Неделя 12</t>
  </si>
  <si>
    <t>базовый</t>
  </si>
  <si>
    <t>Перекаты на бок</t>
  </si>
  <si>
    <t>помощь через таз</t>
  </si>
  <si>
    <t>Перекаты на живот</t>
  </si>
  <si>
    <t>через плечо</t>
  </si>
  <si>
    <t>Ползание к игрушке</t>
  </si>
  <si>
    <t>стимул вперед</t>
  </si>
  <si>
    <t>Ползание с поддержкой</t>
  </si>
  <si>
    <t>помощь ногами</t>
  </si>
  <si>
    <t>Удержание головы</t>
  </si>
  <si>
    <t>лежа на животе</t>
  </si>
  <si>
    <t>Подъем на локтях</t>
  </si>
  <si>
    <t>опора на руки</t>
  </si>
  <si>
    <t>Качание на четвереньках</t>
  </si>
  <si>
    <t>вперед-назад</t>
  </si>
  <si>
    <t>Поза на четвереньках</t>
  </si>
  <si>
    <t>удержание</t>
  </si>
  <si>
    <t>Катание на фитболе</t>
  </si>
  <si>
    <t>поддержка корпуса</t>
  </si>
  <si>
    <t>Подъем ног лежа</t>
  </si>
  <si>
    <t>с помощью</t>
  </si>
  <si>
    <t>средний</t>
  </si>
  <si>
    <t>Ползание через подушку</t>
  </si>
  <si>
    <t>небольшое препятствие</t>
  </si>
  <si>
    <t>Вставание у опоры</t>
  </si>
  <si>
    <t>помощь руками</t>
  </si>
  <si>
    <t>Стояние у опоры</t>
  </si>
  <si>
    <t>Переступание вдоль опоры</t>
  </si>
  <si>
    <t>боковое движение</t>
  </si>
  <si>
    <t>Приседания с поддержкой</t>
  </si>
  <si>
    <t>держать за руки</t>
  </si>
  <si>
    <t>Перенос веса</t>
  </si>
  <si>
    <t>вправо-влево</t>
  </si>
  <si>
    <t>Ходьба с поддержкой</t>
  </si>
  <si>
    <t>за две руки</t>
  </si>
  <si>
    <t>Подъем на носки</t>
  </si>
  <si>
    <t>Дотягивание вверх</t>
  </si>
  <si>
    <t>к игрушке</t>
  </si>
  <si>
    <t>Баланс сидя</t>
  </si>
  <si>
    <t>на мяче</t>
  </si>
  <si>
    <t>высокий</t>
  </si>
  <si>
    <t>Ходьба без поддержки</t>
  </si>
  <si>
    <t>короткие шаги</t>
  </si>
  <si>
    <t>Перешагивание препятствий</t>
  </si>
  <si>
    <t>низкие предметы</t>
  </si>
  <si>
    <t>Прыжки на месте</t>
  </si>
  <si>
    <t>с поддержкой</t>
  </si>
  <si>
    <t>Бег по комнате</t>
  </si>
  <si>
    <t>короткая дистанция</t>
  </si>
  <si>
    <t>Лазание на диван</t>
  </si>
  <si>
    <t>самостоятельно</t>
  </si>
  <si>
    <t>Стояние на одной ноге</t>
  </si>
  <si>
    <t>2-3 секунды</t>
  </si>
  <si>
    <t>Подъем по ступенькам</t>
  </si>
  <si>
    <t>с опорой</t>
  </si>
  <si>
    <t>Спуск со ступенек</t>
  </si>
  <si>
    <t>контроль движения</t>
  </si>
  <si>
    <t>Броски мяча</t>
  </si>
  <si>
    <t>вперед</t>
  </si>
  <si>
    <t>Ловля мяча</t>
  </si>
  <si>
    <t>двумя руками</t>
  </si>
  <si>
    <t>Сжимание губки</t>
  </si>
  <si>
    <t>мягкая</t>
  </si>
  <si>
    <t>Захват всей рукой</t>
  </si>
  <si>
    <t>крупный предмет</t>
  </si>
  <si>
    <t>Перекладывание</t>
  </si>
  <si>
    <t>из руки в руку</t>
  </si>
  <si>
    <t>Стучать предметами</t>
  </si>
  <si>
    <t>координация</t>
  </si>
  <si>
    <t>Игры с водой</t>
  </si>
  <si>
    <t>руками</t>
  </si>
  <si>
    <t>Пересыпание крупы</t>
  </si>
  <si>
    <t>Трогать текстуры</t>
  </si>
  <si>
    <t>разные материалы</t>
  </si>
  <si>
    <t>Мять пластилин</t>
  </si>
  <si>
    <t>мягкий</t>
  </si>
  <si>
    <t>Отрывать кусочки</t>
  </si>
  <si>
    <t>большие</t>
  </si>
  <si>
    <t>Давить пальцем</t>
  </si>
  <si>
    <t>кнопки</t>
  </si>
  <si>
    <t>Щипковый захват</t>
  </si>
  <si>
    <t>два пальца</t>
  </si>
  <si>
    <t>Прищепки</t>
  </si>
  <si>
    <t>мягкие</t>
  </si>
  <si>
    <t>Нанизывание крупных бус</t>
  </si>
  <si>
    <t>на шнур</t>
  </si>
  <si>
    <t>Открывание коробок</t>
  </si>
  <si>
    <t>простые</t>
  </si>
  <si>
    <t>Закручивание крышек</t>
  </si>
  <si>
    <t>крупные</t>
  </si>
  <si>
    <t>Рисование линий</t>
  </si>
  <si>
    <t>широкие</t>
  </si>
  <si>
    <t>Рисование точек</t>
  </si>
  <si>
    <t>Вкладыши</t>
  </si>
  <si>
    <t>формы</t>
  </si>
  <si>
    <t>Переливание воды</t>
  </si>
  <si>
    <t>ложкой</t>
  </si>
  <si>
    <t>Игры с песком</t>
  </si>
  <si>
    <t>совком</t>
  </si>
  <si>
    <t>Нанизывание мелких бус</t>
  </si>
  <si>
    <t>точность</t>
  </si>
  <si>
    <t>Прищепки тугие</t>
  </si>
  <si>
    <t>усилие</t>
  </si>
  <si>
    <t>Обведение по контуру</t>
  </si>
  <si>
    <t>тонкий</t>
  </si>
  <si>
    <t>Рисование фигур</t>
  </si>
  <si>
    <t>круг, квадрат</t>
  </si>
  <si>
    <t>Застегивание кнопок</t>
  </si>
  <si>
    <t>мелкие</t>
  </si>
  <si>
    <t>Молния</t>
  </si>
  <si>
    <t>Шнуровка</t>
  </si>
  <si>
    <t>простая</t>
  </si>
  <si>
    <t>мелкие предметы</t>
  </si>
  <si>
    <t>Сортировка мелких</t>
  </si>
  <si>
    <t>по цвету</t>
  </si>
  <si>
    <t>Работа ножницами</t>
  </si>
  <si>
    <t>безопасные</t>
  </si>
  <si>
    <t>Повтор гласных</t>
  </si>
  <si>
    <t>а, у, о</t>
  </si>
  <si>
    <t>Реакция на имя</t>
  </si>
  <si>
    <t>отклик</t>
  </si>
  <si>
    <t>Звуки животных</t>
  </si>
  <si>
    <t>мяу, гав</t>
  </si>
  <si>
    <t>Бытовые звуки</t>
  </si>
  <si>
    <t>би-би</t>
  </si>
  <si>
    <t>Указание пальцем</t>
  </si>
  <si>
    <t>на предмет</t>
  </si>
  <si>
    <t>Понимание «дай»</t>
  </si>
  <si>
    <t>простая команда</t>
  </si>
  <si>
    <t>Понимание «на»</t>
  </si>
  <si>
    <t>передача</t>
  </si>
  <si>
    <t>Жест «ещё»</t>
  </si>
  <si>
    <t>просьба</t>
  </si>
  <si>
    <t>Слушание речи</t>
  </si>
  <si>
    <t>короткие фразы</t>
  </si>
  <si>
    <t>Контакт глазами</t>
  </si>
  <si>
    <t>2-3 сек</t>
  </si>
  <si>
    <t>Повтор слогов</t>
  </si>
  <si>
    <t>ма-ма</t>
  </si>
  <si>
    <t>Покажи предмет</t>
  </si>
  <si>
    <t>выбор</t>
  </si>
  <si>
    <t>Покажи часть тела</t>
  </si>
  <si>
    <t>нос, рот</t>
  </si>
  <si>
    <t>Выполни команду</t>
  </si>
  <si>
    <t>1 действие</t>
  </si>
  <si>
    <t>Выбор из двух</t>
  </si>
  <si>
    <t>предметы</t>
  </si>
  <si>
    <t>Повтор слов</t>
  </si>
  <si>
    <t>Игра «где?»</t>
  </si>
  <si>
    <t>поиск</t>
  </si>
  <si>
    <t>Карточки</t>
  </si>
  <si>
    <t>Ответ жестом</t>
  </si>
  <si>
    <t>да/нет</t>
  </si>
  <si>
    <t>Подражание</t>
  </si>
  <si>
    <t>действия</t>
  </si>
  <si>
    <t>Фразы из 2 слов</t>
  </si>
  <si>
    <t>мама дай</t>
  </si>
  <si>
    <t>Ответ словами</t>
  </si>
  <si>
    <t>Название предметов</t>
  </si>
  <si>
    <t>активно</t>
  </si>
  <si>
    <t>Что делает</t>
  </si>
  <si>
    <t>Договаривание</t>
  </si>
  <si>
    <t>окончание слова</t>
  </si>
  <si>
    <t>Описание картинки</t>
  </si>
  <si>
    <t>простое</t>
  </si>
  <si>
    <t>Вопрос-ответ</t>
  </si>
  <si>
    <t>диалог</t>
  </si>
  <si>
    <t>Пение песен</t>
  </si>
  <si>
    <t>короткие</t>
  </si>
  <si>
    <t>Повтор фраз</t>
  </si>
  <si>
    <t>3-4 слова</t>
  </si>
  <si>
    <t>Пересказ</t>
  </si>
  <si>
    <t>простой</t>
  </si>
  <si>
    <t>Найди предмет</t>
  </si>
  <si>
    <t>один</t>
  </si>
  <si>
    <t>Сопоставление</t>
  </si>
  <si>
    <t>предмет-картинка</t>
  </si>
  <si>
    <t>Причина-следствие</t>
  </si>
  <si>
    <t>кнопка-звук</t>
  </si>
  <si>
    <t>Игры с кнопками</t>
  </si>
  <si>
    <t>нажимать</t>
  </si>
  <si>
    <t>Башня из кубиков</t>
  </si>
  <si>
    <t>Сортировка 2 цвета</t>
  </si>
  <si>
    <t>базово</t>
  </si>
  <si>
    <t>Большой-маленький</t>
  </si>
  <si>
    <t>различие</t>
  </si>
  <si>
    <t>Один-много</t>
  </si>
  <si>
    <t>понимание</t>
  </si>
  <si>
    <t>Вверх-вниз</t>
  </si>
  <si>
    <t>ориентир</t>
  </si>
  <si>
    <t>Внутри-снаружи</t>
  </si>
  <si>
    <t>Пазлы 2-4</t>
  </si>
  <si>
    <t>собрать</t>
  </si>
  <si>
    <t>Найди одинаковое</t>
  </si>
  <si>
    <t>пары</t>
  </si>
  <si>
    <t>Найди лишнее</t>
  </si>
  <si>
    <t>3 предмета</t>
  </si>
  <si>
    <t>Память 2 карточки</t>
  </si>
  <si>
    <t>запомнить</t>
  </si>
  <si>
    <t>Группировка</t>
  </si>
  <si>
    <t>по признаку</t>
  </si>
  <si>
    <t>Последовательность</t>
  </si>
  <si>
    <t>2 шага</t>
  </si>
  <si>
    <t>Сравнение</t>
  </si>
  <si>
    <t>больше-меньше</t>
  </si>
  <si>
    <t>Простые задания</t>
  </si>
  <si>
    <t>логика</t>
  </si>
  <si>
    <t>Конструктор</t>
  </si>
  <si>
    <t>по образцу</t>
  </si>
  <si>
    <t>Сюжетная игра</t>
  </si>
  <si>
    <t>кукла</t>
  </si>
  <si>
    <t>Пазлы 5-10</t>
  </si>
  <si>
    <t>сложнее</t>
  </si>
  <si>
    <t>Память 4 карточки</t>
  </si>
  <si>
    <t>усложнение</t>
  </si>
  <si>
    <t>Что изменилось</t>
  </si>
  <si>
    <t>анализ</t>
  </si>
  <si>
    <t>Что пропало</t>
  </si>
  <si>
    <t>память</t>
  </si>
  <si>
    <t>Логические цепочки</t>
  </si>
  <si>
    <t>последовательность</t>
  </si>
  <si>
    <t>Классификация</t>
  </si>
  <si>
    <t>несколько признаков</t>
  </si>
  <si>
    <t>Планирование</t>
  </si>
  <si>
    <t>2-3 действия</t>
  </si>
  <si>
    <t>Простые задачи</t>
  </si>
  <si>
    <t>Ролевые игры</t>
  </si>
  <si>
    <t>сюжет</t>
  </si>
  <si>
    <t>Решение задач</t>
  </si>
  <si>
    <t>Улыбка в ответ</t>
  </si>
  <si>
    <t>реакция</t>
  </si>
  <si>
    <t>Реакция на голос</t>
  </si>
  <si>
    <t>поворот</t>
  </si>
  <si>
    <t>Успокоение</t>
  </si>
  <si>
    <t>Принятие контакта</t>
  </si>
  <si>
    <t>объятия</t>
  </si>
  <si>
    <t>Узнавание близких</t>
  </si>
  <si>
    <t>Радость</t>
  </si>
  <si>
    <t>выражение</t>
  </si>
  <si>
    <t>Недовольство</t>
  </si>
  <si>
    <t>сигнал</t>
  </si>
  <si>
    <t>Ожидание</t>
  </si>
  <si>
    <t>короткое</t>
  </si>
  <si>
    <t>Реакция на похвалу</t>
  </si>
  <si>
    <t>улыбка</t>
  </si>
  <si>
    <t>Выражение эмоций</t>
  </si>
  <si>
    <t>словами</t>
  </si>
  <si>
    <t>Контроль эмоций</t>
  </si>
  <si>
    <t>Понимание эмоций</t>
  </si>
  <si>
    <t>других</t>
  </si>
  <si>
    <t>Переключение</t>
  </si>
  <si>
    <t>с плача</t>
  </si>
  <si>
    <t>Терпение</t>
  </si>
  <si>
    <t>ожидание</t>
  </si>
  <si>
    <t>Игра «ку-ку»</t>
  </si>
  <si>
    <t>совместная</t>
  </si>
  <si>
    <t>Совместное внимание</t>
  </si>
  <si>
    <t>смотреть</t>
  </si>
  <si>
    <t>Контакт с взрослым</t>
  </si>
  <si>
    <t>игра</t>
  </si>
  <si>
    <t>Игра с взрослым</t>
  </si>
  <si>
    <t>по очереди</t>
  </si>
  <si>
    <t>Игра с детьми</t>
  </si>
  <si>
    <t>рядом</t>
  </si>
  <si>
    <t>Просьба помощи</t>
  </si>
  <si>
    <t>жест</t>
  </si>
  <si>
    <t>Деление игрушек</t>
  </si>
  <si>
    <t>с подсказкой</t>
  </si>
  <si>
    <t>Ожидание очереди</t>
  </si>
  <si>
    <t>Совместная игра</t>
  </si>
  <si>
    <t>Общение словами</t>
  </si>
  <si>
    <t>просьбы</t>
  </si>
  <si>
    <t>Следование правилам</t>
  </si>
  <si>
    <t>Диалог</t>
  </si>
  <si>
    <t>короткий</t>
  </si>
  <si>
    <t>Инициатива</t>
  </si>
  <si>
    <t>контакт</t>
  </si>
  <si>
    <t>Держать ложку</t>
  </si>
  <si>
    <t>Пить из кружки</t>
  </si>
  <si>
    <t>поддержка</t>
  </si>
  <si>
    <t>Умывание</t>
  </si>
  <si>
    <t>помощь</t>
  </si>
  <si>
    <t>Снимать носки</t>
  </si>
  <si>
    <t>частично</t>
  </si>
  <si>
    <t>Сидеть за столом</t>
  </si>
  <si>
    <t>недолго</t>
  </si>
  <si>
    <t>Есть ложкой</t>
  </si>
  <si>
    <t>Пить самостоятельно</t>
  </si>
  <si>
    <t>аккуратно</t>
  </si>
  <si>
    <t>Надевать шапку</t>
  </si>
  <si>
    <t>Убирать игрушки</t>
  </si>
  <si>
    <t>по просьбе</t>
  </si>
  <si>
    <t>Ждать</t>
  </si>
  <si>
    <t>1 мин</t>
  </si>
  <si>
    <t>Самостоятельно есть</t>
  </si>
  <si>
    <t>полностью</t>
  </si>
  <si>
    <t>Одеваться</t>
  </si>
  <si>
    <t>Гигиена</t>
  </si>
  <si>
    <t>руки</t>
  </si>
  <si>
    <t>Выбор одежды</t>
  </si>
  <si>
    <t>осознанно</t>
  </si>
  <si>
    <t>Проситься</t>
  </si>
  <si>
    <t>Сфера коррекции</t>
  </si>
  <si>
    <t xml:space="preserve">Лёгкая стимуляция </t>
  </si>
  <si>
    <t xml:space="preserve">Регулярная работа </t>
  </si>
  <si>
    <t xml:space="preserve">Приоритетная коррекция </t>
  </si>
  <si>
    <t xml:space="preserve">Рекомендовано: больше подвижных игр       </t>
  </si>
  <si>
    <t xml:space="preserve">Рекомендовано: упражнения на координацию </t>
  </si>
  <si>
    <t xml:space="preserve">Рекомендовано: консультация по ЛФК          </t>
  </si>
  <si>
    <t xml:space="preserve">Рекомендовано: игры с пластилином         </t>
  </si>
  <si>
    <t xml:space="preserve">Рекомендовано: мозаика, шнуровки         </t>
  </si>
  <si>
    <t xml:space="preserve">Рекомендовано: ежедневные упражнения     </t>
  </si>
  <si>
    <t xml:space="preserve">Рекомендовано: читать книги               </t>
  </si>
  <si>
    <t xml:space="preserve">Рекомендовано: активный диалог           </t>
  </si>
  <si>
    <t xml:space="preserve">Рекомендовано: логопедическая помощь     </t>
  </si>
  <si>
    <t xml:space="preserve">Рекомендовано: простые задания            </t>
  </si>
  <si>
    <t xml:space="preserve">Рекомендовано: пазлы, сортировка         </t>
  </si>
  <si>
    <t xml:space="preserve">Рекомендовано: структурированные занятия </t>
  </si>
  <si>
    <t>Рекомендовано: обсуждать эмоции</t>
  </si>
  <si>
    <t xml:space="preserve">Рекомендовано: ролевые игры              </t>
  </si>
  <si>
    <t xml:space="preserve">Рекомендовано: помощь психолога          </t>
  </si>
  <si>
    <t xml:space="preserve">Рекомендовано: совместные игры            </t>
  </si>
  <si>
    <t xml:space="preserve">Рекомендовано: правила общения           </t>
  </si>
  <si>
    <t xml:space="preserve">Рекомендовано: поддержка специалиста     </t>
  </si>
  <si>
    <t xml:space="preserve">Рекомендовано: поощрять самостоятельность </t>
  </si>
  <si>
    <t xml:space="preserve">Рекомендовано: тренировка навыков        </t>
  </si>
  <si>
    <t xml:space="preserve">Рекомендовано: ежедневная поддержка      </t>
  </si>
  <si>
    <t>Специалист</t>
  </si>
  <si>
    <t>Физиотерапевт / ЛФК</t>
  </si>
  <si>
    <t>Лечебная физкультура, физиотерапия</t>
  </si>
  <si>
    <t>Эрготерапевт</t>
  </si>
  <si>
    <t>Эрготерапия, сенсорная интеграция</t>
  </si>
  <si>
    <t>Логопед</t>
  </si>
  <si>
    <t>Логопедические занятия, AAC</t>
  </si>
  <si>
    <t>Нейропсихолог</t>
  </si>
  <si>
    <t>Нейропсихологическая коррекция</t>
  </si>
  <si>
    <t>Психолог</t>
  </si>
  <si>
    <t>Поведенческая терапия, арт-терапия</t>
  </si>
  <si>
    <t>Поведенческий терапевт / АВА</t>
  </si>
  <si>
    <t>АВА-терапия, социальные группы</t>
  </si>
  <si>
    <t>Бытовая реабилитация</t>
  </si>
  <si>
    <t>Нейрофункция</t>
  </si>
  <si>
    <t>Связанные сферы</t>
  </si>
  <si>
    <t>Индекс (0–1)</t>
  </si>
  <si>
    <t>Моторный контроль</t>
  </si>
  <si>
    <t>Физика, Мелкая моторика</t>
  </si>
  <si>
    <t>Сенсорная интеграция</t>
  </si>
  <si>
    <t>Физика, Эмоции</t>
  </si>
  <si>
    <t>Исполнительные функции</t>
  </si>
  <si>
    <t>Коммуникация</t>
  </si>
  <si>
    <t>Речь, Социализация</t>
  </si>
  <si>
    <t>Саморегуляция</t>
  </si>
  <si>
    <t>Адаптация</t>
  </si>
  <si>
    <t>Наиболее уязвимая функция</t>
  </si>
  <si>
    <t>Сенсорная система</t>
  </si>
  <si>
    <t>Рекомендуемые практики</t>
  </si>
  <si>
    <t>Зрение</t>
  </si>
  <si>
    <t>Когнитив, Мелкая моторика</t>
  </si>
  <si>
    <t>Игры с контрастными предметами, сортировка</t>
  </si>
  <si>
    <t>Слух</t>
  </si>
  <si>
    <t>Звуковые игры, музыкальные занятия</t>
  </si>
  <si>
    <t>Тактильная система</t>
  </si>
  <si>
    <t>Эмоции, Мелкая моторика</t>
  </si>
  <si>
    <t>Игры с текстурами, пальчиковые игры</t>
  </si>
  <si>
    <t>Проприоцепция</t>
  </si>
  <si>
    <t>Упражнения с сопротивлением, массаж</t>
  </si>
  <si>
    <t>Вестибулярная система</t>
  </si>
  <si>
    <t>Качели, балансировочные упражнения</t>
  </si>
  <si>
    <t>Интероцепция</t>
  </si>
  <si>
    <t>Режим питания и сна, осознанность</t>
  </si>
  <si>
    <t>Наиболее уязвимая система</t>
  </si>
  <si>
    <t>Тип причины</t>
  </si>
  <si>
    <t>Индикатор</t>
  </si>
  <si>
    <t>Вывод</t>
  </si>
  <si>
    <t>Рекомендуемая помощь</t>
  </si>
  <si>
    <t>Моторная</t>
  </si>
  <si>
    <t>ЛФК, физиотерапия</t>
  </si>
  <si>
    <t>Сенсорная</t>
  </si>
  <si>
    <t>Коммуникативная</t>
  </si>
  <si>
    <t>Когнитивная</t>
  </si>
  <si>
    <t>Эмоциональная</t>
  </si>
  <si>
    <t>Адаптационная</t>
  </si>
  <si>
    <t>Эрготерапия</t>
  </si>
  <si>
    <t>Сводный вывод причин</t>
  </si>
  <si>
    <t>Приоритетная причина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</si>
</sst>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"/>
    <numFmt numFmtId="165" formatCode="0.0"/>
    <numFmt numFmtId="166" formatCode="0.0%"/>
  </numFmts>
  <fonts count="40">
    <font>
      <sz val="11"/>
      <color theme="1"/>
      <name val="Calibri"/>
      <family val="2"/>
      <charset val="204"/>
    </font>
    <font>
      <b/>
      <sz val="22"/>
      <color rgb="FFFFFFFF"/>
      <name val="Calibri"/>
      <family val="2"/>
      <charset val="204"/>
    </font>
    <font>
      <i/>
      <sz val="10"/>
      <color rgb="FFB8CCE4"/>
      <name val="Calibri"/>
      <family val="2"/>
      <charset val="204"/>
    </font>
    <font>
      <b/>
      <sz val="14"/>
      <color rgb="FF1F4E79"/>
      <name val="Calibri"/>
      <family val="2"/>
      <charset val="204"/>
    </font>
    <font>
      <b/>
      <sz val="13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1F4E79"/>
      <name val="Calibri"/>
      <family val="2"/>
      <charset val="204"/>
    </font>
    <font>
      <sz val="10"/>
      <color rgb="FF444444"/>
      <name val="Calibri"/>
      <family val="2"/>
      <charset val="204"/>
    </font>
    <font>
      <i/>
      <sz val="9"/>
      <color rgb="FFB8CCE4"/>
      <name val="Calibri"/>
      <family val="2"/>
      <charset val="204"/>
    </font>
    <font>
      <sz val="10"/>
      <color theme="1"/>
      <name val="Calibri"/>
      <family val="2"/>
      <charset val="204"/>
    </font>
    <font>
      <b/>
      <sz val="11"/>
      <name val="Cambria"/>
      <family val="1"/>
      <charset val="204"/>
    </font>
    <font>
      <sz val="11"/>
      <color theme="0"/>
      <name val="Calibri"/>
      <family val="2"/>
      <charset val="204"/>
    </font>
    <font>
      <i/>
      <sz val="9"/>
      <color theme="2" tint="-0.89999084444715716"/>
      <name val="Cambria"/>
      <family val="1"/>
      <charset val="204"/>
    </font>
    <font>
      <b/>
      <sz val="10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b/>
      <sz val="11"/>
      <color rgb="FFFFFFFF"/>
      <name val="Cambria"/>
      <family val="1"/>
      <charset val="204"/>
    </font>
    <font>
      <sz val="9"/>
      <color rgb="FF444444"/>
      <name val="Cambria"/>
      <family val="1"/>
      <charset val="204"/>
    </font>
    <font>
      <sz val="9"/>
      <color rgb="FF444444"/>
      <name val="Cambria"/>
      <family val="1"/>
      <charset val="204"/>
    </font>
    <font>
      <sz val="10"/>
      <color theme="1"/>
      <name val="Andika"/>
      <charset val="1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</font>
    <font>
      <b/>
      <i/>
      <sz val="10"/>
      <color theme="1"/>
      <name val="Calibri"/>
      <family val="2"/>
      <charset val="204"/>
    </font>
    <font>
      <b/>
      <u/>
      <sz val="14"/>
      <name val="Calibri"/>
      <family val="2"/>
      <charset val="204"/>
    </font>
    <font>
      <sz val="11"/>
      <name val="Calibri"/>
      <family val="2"/>
      <charset val="204"/>
    </font>
    <font>
      <b/>
      <sz val="14"/>
      <color rgb="FFFFFFFF"/>
      <name val="Cambria"/>
      <family val="1"/>
      <charset val="204"/>
    </font>
    <font>
      <b/>
      <sz val="10"/>
      <color rgb="FFFFFFFF"/>
      <name val="Cambria"/>
      <family val="1"/>
      <charset val="204"/>
    </font>
    <font>
      <b/>
      <sz val="10"/>
      <color rgb="FF2E75B6"/>
      <name val="Cambria"/>
      <family val="1"/>
      <charset val="204"/>
    </font>
    <font>
      <sz val="10"/>
      <name val="Cambria"/>
      <family val="1"/>
      <charset val="204"/>
    </font>
    <font>
      <i/>
      <sz val="10"/>
      <color rgb="FF333333"/>
      <name val="Cambria"/>
      <family val="1"/>
      <charset val="204"/>
    </font>
    <font>
      <i/>
      <sz val="8"/>
      <color rgb="FF888888"/>
      <name val="Cambria"/>
      <family val="1"/>
      <charset val="204"/>
    </font>
    <font>
      <b/>
      <i/>
      <sz val="8.5"/>
      <color theme="1"/>
      <name val="Calibri"/>
      <family val="2"/>
      <charset val="204"/>
    </font>
    <font>
      <sz val="8.5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i/>
      <sz val="9"/>
      <color theme="1"/>
      <name val="Calibri"/>
      <family val="2"/>
      <charset val="204"/>
    </font>
    <font>
      <b/>
      <i/>
      <sz val="9"/>
      <color theme="1"/>
      <name val="Times New Roman"/>
      <family val="1"/>
      <charset val="204"/>
    </font>
    <font>
      <b/>
      <sz val="10"/>
      <name val="Cambria"/>
      <family val="1"/>
      <charset val="204"/>
    </font>
    <font>
      <b/>
      <sz val="20"/>
      <color rgb="FFFFFFFF"/>
      <name val="Calibri"/>
      <family val="2"/>
      <charset val="204"/>
    </font>
    <font>
      <i/>
      <sz val="10"/>
      <color theme="1"/>
      <name val="Calibri"/>
      <family val="2"/>
      <charset val="204"/>
    </font>
  </fonts>
  <fills count="23">
    <fill>
      <patternFill patternType="none"/>
    </fill>
    <fill>
      <patternFill patternType="gray125"/>
    </fill>
    <fill>
      <patternFill patternType="solid">
        <fgColor theme="6"/>
        <bgColor rgb="FF92D050"/>
      </patternFill>
    </fill>
    <fill>
      <patternFill patternType="solid">
        <fgColor rgb="FF1F4E79"/>
        <bgColor rgb="FF376092"/>
      </patternFill>
    </fill>
    <fill>
      <patternFill patternType="solid">
        <fgColor rgb="FFC55A11"/>
        <bgColor rgb="FFE46C0A"/>
      </patternFill>
    </fill>
    <fill>
      <patternFill patternType="solid">
        <fgColor rgb="FF2E75B6"/>
        <bgColor rgb="FF4472C4"/>
      </patternFill>
    </fill>
    <fill>
      <patternFill patternType="solid">
        <fgColor rgb="FFD5E3F5"/>
        <bgColor rgb="FFDDDDDD"/>
      </patternFill>
    </fill>
    <fill>
      <patternFill patternType="solid">
        <fgColor rgb="FFF2F2F2"/>
        <bgColor rgb="FFE8EFF7"/>
      </patternFill>
    </fill>
    <fill>
      <patternFill patternType="solid">
        <fgColor rgb="FFE2EFDA"/>
        <bgColor rgb="FFE8EFF7"/>
      </patternFill>
    </fill>
    <fill>
      <patternFill patternType="solid">
        <fgColor rgb="FF92D050"/>
        <bgColor rgb="FF9BBB59"/>
      </patternFill>
    </fill>
    <fill>
      <patternFill patternType="solid">
        <fgColor rgb="FFFFFF00"/>
        <bgColor rgb="FFFFFF00"/>
      </patternFill>
    </fill>
    <fill>
      <patternFill patternType="solid">
        <fgColor theme="9" tint="-0.249977111117893"/>
        <bgColor rgb="FFC55A11"/>
      </patternFill>
    </fill>
    <fill>
      <patternFill patternType="solid">
        <fgColor rgb="FFFF0000"/>
        <bgColor rgb="FF800000"/>
      </patternFill>
    </fill>
    <fill>
      <patternFill patternType="solid">
        <fgColor theme="9" tint="0.39957884456923126"/>
        <bgColor rgb="FFC3D69B"/>
      </patternFill>
    </fill>
    <fill>
      <patternFill patternType="solid">
        <fgColor theme="6" tint="0.39957884456923126"/>
        <bgColor rgb="FFD9D9D9"/>
      </patternFill>
    </fill>
    <fill>
      <patternFill patternType="solid">
        <fgColor theme="0"/>
        <bgColor rgb="FFF2F2F2"/>
      </patternFill>
    </fill>
    <fill>
      <patternFill patternType="solid">
        <fgColor rgb="FF0D7D1A"/>
        <bgColor rgb="FF008080"/>
      </patternFill>
    </fill>
    <fill>
      <patternFill patternType="solid">
        <fgColor rgb="FFE8EFF7"/>
        <bgColor rgb="FFF2F2F2"/>
      </patternFill>
    </fill>
    <fill>
      <patternFill patternType="solid">
        <fgColor rgb="FF376092"/>
        <bgColor rgb="FF2E75B6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rgb="FFC0D0E8"/>
      </left>
      <right/>
      <top style="thin">
        <color rgb="FFC0D0E8"/>
      </top>
      <bottom style="thin">
        <color rgb="FFC0D0E8"/>
      </bottom>
      <diagonal/>
    </border>
    <border>
      <left/>
      <right style="thin">
        <color rgb="FFC0D0E8"/>
      </right>
      <top style="thin">
        <color rgb="FFC0D0E8"/>
      </top>
      <bottom/>
      <diagonal/>
    </border>
    <border>
      <left/>
      <right style="thin">
        <color rgb="FFC0D0E8"/>
      </right>
      <top/>
      <bottom style="thin">
        <color rgb="FFC0D0E8"/>
      </bottom>
      <diagonal/>
    </border>
    <border>
      <left style="thin">
        <color rgb="FFC0D0E8"/>
      </left>
      <right/>
      <top/>
      <bottom/>
      <diagonal/>
    </border>
    <border>
      <left/>
      <right style="thin">
        <color rgb="FFC0D0E8"/>
      </right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D0D8E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C0D0E8"/>
      </left>
      <right/>
      <top/>
      <bottom style="thin">
        <color rgb="FFC0D0E8"/>
      </bottom>
      <diagonal/>
    </border>
    <border>
      <left/>
      <right/>
      <top style="thin">
        <color rgb="FFC0D0E8"/>
      </top>
      <bottom/>
      <diagonal/>
    </border>
    <border>
      <left/>
      <right/>
      <top/>
      <bottom style="thin">
        <color rgb="FFC0D0E8"/>
      </bottom>
      <diagonal/>
    </border>
  </borders>
  <cellStyleXfs count="2">
    <xf numFmtId="0" fontId="0" fillId="0" borderId="0"/>
    <xf numFmtId="0" fontId="11" fillId="2" borderId="0"/>
  </cellStyleXfs>
  <cellXfs count="201">
    <xf numFmtId="0" fontId="0" fillId="0" borderId="0" xfId="0"/>
    <xf numFmtId="0" fontId="9" fillId="0" borderId="0" xfId="0" applyFont="1"/>
    <xf numFmtId="1" fontId="0" fillId="0" borderId="0" xfId="0" applyNumberFormat="1"/>
    <xf numFmtId="0" fontId="9" fillId="0" borderId="0" xfId="0" applyFont="1" applyAlignment="1">
      <alignment wrapText="1"/>
    </xf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0" fontId="13" fillId="0" borderId="0" xfId="0" applyFont="1" applyAlignment="1">
      <alignment horizontal="center" vertical="center" wrapText="1"/>
    </xf>
    <xf numFmtId="0" fontId="15" fillId="5" borderId="0" xfId="0" applyFont="1" applyFill="1" applyAlignment="1">
      <alignment horizontal="center" vertical="center"/>
    </xf>
    <xf numFmtId="49" fontId="9" fillId="0" borderId="0" xfId="0" applyNumberFormat="1" applyFont="1" applyAlignment="1">
      <alignment horizontal="center"/>
    </xf>
    <xf numFmtId="0" fontId="16" fillId="0" borderId="6" xfId="0" applyFont="1" applyBorder="1"/>
    <xf numFmtId="0" fontId="17" fillId="0" borderId="6" xfId="0" applyFont="1" applyBorder="1"/>
    <xf numFmtId="0" fontId="16" fillId="0" borderId="6" xfId="0" applyFont="1" applyBorder="1" applyAlignment="1">
      <alignment vertical="center"/>
    </xf>
    <xf numFmtId="0" fontId="9" fillId="0" borderId="0" xfId="0" applyFont="1" applyAlignment="1" applyProtection="1">
      <alignment horizontal="center"/>
      <protection hidden="1"/>
    </xf>
    <xf numFmtId="0" fontId="19" fillId="0" borderId="0" xfId="0" applyFont="1" applyProtection="1">
      <protection locked="0"/>
    </xf>
    <xf numFmtId="0" fontId="19" fillId="0" borderId="0" xfId="0" applyFont="1"/>
    <xf numFmtId="0" fontId="0" fillId="0" borderId="0" xfId="0" applyAlignment="1">
      <alignment vertical="center" wrapText="1"/>
    </xf>
    <xf numFmtId="10" fontId="0" fillId="0" borderId="0" xfId="0" applyNumberFormat="1"/>
    <xf numFmtId="0" fontId="0" fillId="0" borderId="0" xfId="0"/>
    <xf numFmtId="0" fontId="21" fillId="0" borderId="0" xfId="0" applyFont="1"/>
    <xf numFmtId="0" fontId="0" fillId="14" borderId="0" xfId="0" applyFill="1"/>
    <xf numFmtId="0" fontId="9" fillId="0" borderId="0" xfId="0" applyFont="1" applyAlignment="1">
      <alignment vertical="center" wrapText="1"/>
    </xf>
    <xf numFmtId="0" fontId="20" fillId="14" borderId="0" xfId="0" applyFont="1" applyFill="1" applyAlignment="1">
      <alignment vertical="center" wrapText="1"/>
    </xf>
    <xf numFmtId="0" fontId="0" fillId="14" borderId="0" xfId="0" applyFill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10" fontId="9" fillId="0" borderId="0" xfId="0" applyNumberFormat="1" applyFont="1" applyAlignment="1">
      <alignment horizontal="center" wrapText="1"/>
    </xf>
    <xf numFmtId="10" fontId="0" fillId="0" borderId="0" xfId="0" applyNumberFormat="1" applyAlignment="1">
      <alignment horizontal="center" vertical="center"/>
    </xf>
    <xf numFmtId="164" fontId="9" fillId="9" borderId="0" xfId="0" applyNumberFormat="1" applyFont="1" applyFill="1" applyAlignment="1">
      <alignment vertical="center" wrapText="1"/>
    </xf>
    <xf numFmtId="10" fontId="0" fillId="0" borderId="0" xfId="0" applyNumberFormat="1" applyAlignment="1">
      <alignment vertical="center"/>
    </xf>
    <xf numFmtId="164" fontId="0" fillId="0" borderId="0" xfId="0" applyNumberFormat="1"/>
    <xf numFmtId="166" fontId="32" fillId="0" borderId="9" xfId="0" applyNumberFormat="1" applyFont="1" applyBorder="1" applyAlignment="1">
      <alignment horizontal="left" vertical="center" wrapText="1"/>
    </xf>
    <xf numFmtId="166" fontId="32" fillId="0" borderId="0" xfId="0" applyNumberFormat="1" applyFont="1" applyAlignment="1">
      <alignment horizontal="left" vertical="center" wrapText="1"/>
    </xf>
    <xf numFmtId="166" fontId="32" fillId="0" borderId="0" xfId="0" applyNumberFormat="1" applyFont="1" applyAlignment="1">
      <alignment horizontal="left" vertical="center"/>
    </xf>
    <xf numFmtId="166" fontId="32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33" fillId="0" borderId="0" xfId="0" applyFont="1"/>
    <xf numFmtId="164" fontId="32" fillId="0" borderId="9" xfId="0" applyNumberFormat="1" applyFont="1" applyBorder="1" applyAlignment="1">
      <alignment horizontal="left" vertical="center" wrapText="1"/>
    </xf>
    <xf numFmtId="2" fontId="0" fillId="0" borderId="0" xfId="0" applyNumberFormat="1"/>
    <xf numFmtId="0" fontId="9" fillId="0" borderId="0" xfId="0" applyFont="1" applyAlignment="1">
      <alignment vertical="center"/>
    </xf>
    <xf numFmtId="0" fontId="33" fillId="0" borderId="0" xfId="0" applyFont="1" applyAlignment="1">
      <alignment horizontal="center" vertical="center" wrapText="1"/>
    </xf>
    <xf numFmtId="0" fontId="15" fillId="5" borderId="0" xfId="0" applyFont="1" applyFill="1" applyAlignment="1">
      <alignment wrapText="1"/>
    </xf>
    <xf numFmtId="166" fontId="9" fillId="0" borderId="0" xfId="0" applyNumberFormat="1" applyFont="1" applyAlignment="1">
      <alignment horizontal="center"/>
    </xf>
    <xf numFmtId="0" fontId="37" fillId="0" borderId="0" xfId="0" applyFont="1"/>
    <xf numFmtId="14" fontId="9" fillId="0" borderId="0" xfId="0" applyNumberFormat="1" applyFont="1" applyAlignment="1">
      <alignment wrapText="1"/>
    </xf>
    <xf numFmtId="14" fontId="9" fillId="0" borderId="0" xfId="0" applyNumberFormat="1" applyFont="1" applyAlignment="1">
      <alignment vertical="center" wrapText="1"/>
    </xf>
    <xf numFmtId="0" fontId="22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/>
    <xf numFmtId="0" fontId="9" fillId="0" borderId="0" xfId="0" applyFont="1" applyAlignment="1">
      <alignment horizontal="left" vertical="center" wrapText="1"/>
    </xf>
    <xf numFmtId="0" fontId="21" fillId="9" borderId="0" xfId="0" applyFont="1" applyFill="1" applyAlignment="1">
      <alignment horizontal="center"/>
    </xf>
    <xf numFmtId="0" fontId="9" fillId="9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166" fontId="32" fillId="0" borderId="9" xfId="0" applyNumberFormat="1" applyFont="1" applyBorder="1" applyAlignment="1">
      <alignment horizontal="center" vertical="center" wrapText="1"/>
    </xf>
    <xf numFmtId="0" fontId="0" fillId="0" borderId="11" xfId="0" applyBorder="1"/>
    <xf numFmtId="0" fontId="25" fillId="3" borderId="0" xfId="0" applyFont="1" applyFill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26" fillId="5" borderId="0" xfId="0" applyFont="1" applyFill="1" applyAlignment="1" applyProtection="1">
      <alignment horizontal="left" vertical="center" indent="1"/>
      <protection hidden="1"/>
    </xf>
    <xf numFmtId="0" fontId="0" fillId="5" borderId="0" xfId="0" applyFill="1" applyProtection="1">
      <protection hidden="1"/>
    </xf>
    <xf numFmtId="0" fontId="27" fillId="0" borderId="8" xfId="0" applyFont="1" applyBorder="1" applyAlignment="1" applyProtection="1">
      <alignment vertical="center" indent="1"/>
      <protection hidden="1"/>
    </xf>
    <xf numFmtId="0" fontId="28" fillId="0" borderId="8" xfId="0" applyFont="1" applyBorder="1" applyAlignment="1" applyProtection="1">
      <alignment vertical="center" wrapText="1" indent="1"/>
      <protection hidden="1"/>
    </xf>
    <xf numFmtId="0" fontId="0" fillId="0" borderId="8" xfId="0" applyBorder="1" applyProtection="1">
      <protection hidden="1"/>
    </xf>
    <xf numFmtId="0" fontId="28" fillId="0" borderId="8" xfId="0" applyFont="1" applyBorder="1" applyAlignment="1" applyProtection="1">
      <alignment horizontal="left" vertical="center" wrapText="1" indent="1"/>
      <protection hidden="1"/>
    </xf>
    <xf numFmtId="0" fontId="0" fillId="17" borderId="8" xfId="0" applyFill="1" applyBorder="1" applyProtection="1">
      <protection hidden="1"/>
    </xf>
    <xf numFmtId="0" fontId="26" fillId="5" borderId="8" xfId="0" applyFont="1" applyFill="1" applyBorder="1" applyAlignment="1" applyProtection="1">
      <alignment horizontal="left" vertical="center" indent="1"/>
      <protection hidden="1"/>
    </xf>
    <xf numFmtId="0" fontId="0" fillId="5" borderId="8" xfId="0" applyFill="1" applyBorder="1" applyProtection="1">
      <protection hidden="1"/>
    </xf>
    <xf numFmtId="0" fontId="0" fillId="0" borderId="8" xfId="0" applyBorder="1" applyProtection="1">
      <protection hidden="1"/>
    </xf>
    <xf numFmtId="0" fontId="26" fillId="18" borderId="8" xfId="0" applyFont="1" applyFill="1" applyBorder="1" applyAlignment="1" applyProtection="1">
      <alignment horizontal="left" vertical="center" indent="1"/>
      <protection hidden="1"/>
    </xf>
    <xf numFmtId="0" fontId="28" fillId="0" borderId="8" xfId="0" applyFont="1" applyBorder="1" applyAlignment="1" applyProtection="1">
      <alignment vertical="center" wrapText="1" indent="1"/>
      <protection hidden="1"/>
    </xf>
    <xf numFmtId="0" fontId="28" fillId="0" borderId="8" xfId="0" applyFont="1" applyBorder="1" applyAlignment="1" applyProtection="1">
      <alignment vertical="top" wrapText="1" indent="1"/>
      <protection hidden="1"/>
    </xf>
    <xf numFmtId="0" fontId="28" fillId="0" borderId="8" xfId="0" applyFont="1" applyBorder="1" applyAlignment="1" applyProtection="1">
      <alignment vertical="top" wrapText="1" indent="1"/>
      <protection hidden="1"/>
    </xf>
    <xf numFmtId="0" fontId="26" fillId="3" borderId="8" xfId="0" applyFont="1" applyFill="1" applyBorder="1" applyAlignment="1" applyProtection="1">
      <alignment horizontal="left" vertical="center" indent="1"/>
      <protection hidden="1"/>
    </xf>
    <xf numFmtId="0" fontId="0" fillId="3" borderId="8" xfId="0" applyFill="1" applyBorder="1" applyProtection="1">
      <protection hidden="1"/>
    </xf>
    <xf numFmtId="0" fontId="29" fillId="0" borderId="8" xfId="0" applyFont="1" applyBorder="1" applyAlignment="1" applyProtection="1">
      <alignment vertical="top" wrapText="1" indent="1"/>
      <protection hidden="1"/>
    </xf>
    <xf numFmtId="0" fontId="30" fillId="0" borderId="0" xfId="0" applyFont="1" applyAlignment="1" applyProtection="1">
      <alignment horizontal="left" indent="1"/>
      <protection hidden="1"/>
    </xf>
    <xf numFmtId="0" fontId="0" fillId="3" borderId="0" xfId="0" applyFill="1" applyProtection="1">
      <protection hidden="1"/>
    </xf>
    <xf numFmtId="0" fontId="38" fillId="3" borderId="0" xfId="0" applyFont="1" applyFill="1" applyAlignment="1" applyProtection="1">
      <alignment horizontal="center" vertical="center" wrapText="1"/>
      <protection hidden="1"/>
    </xf>
    <xf numFmtId="0" fontId="2" fillId="3" borderId="0" xfId="0" applyFont="1" applyFill="1" applyAlignment="1" applyProtection="1">
      <alignment horizontal="left" vertical="center"/>
      <protection hidden="1"/>
    </xf>
    <xf numFmtId="0" fontId="0" fillId="4" borderId="0" xfId="0" applyFill="1" applyProtection="1"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4" fillId="5" borderId="2" xfId="0" applyFont="1" applyFill="1" applyBorder="1" applyAlignment="1" applyProtection="1">
      <alignment horizontal="left" vertical="center"/>
      <protection hidden="1"/>
    </xf>
    <xf numFmtId="0" fontId="0" fillId="0" borderId="15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14" xfId="0" applyBorder="1" applyProtection="1">
      <protection hidden="1"/>
    </xf>
    <xf numFmtId="0" fontId="5" fillId="6" borderId="3" xfId="0" applyFont="1" applyFill="1" applyBorder="1" applyAlignment="1" applyProtection="1">
      <alignment horizontal="left" vertical="top" wrapText="1"/>
      <protection hidden="1"/>
    </xf>
    <xf numFmtId="0" fontId="0" fillId="0" borderId="16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5" xfId="0" applyBorder="1" applyProtection="1">
      <protection hidden="1"/>
    </xf>
    <xf numFmtId="0" fontId="0" fillId="5" borderId="0" xfId="0" applyFill="1" applyProtection="1"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7" fillId="7" borderId="0" xfId="0" applyFont="1" applyFill="1" applyAlignment="1" applyProtection="1">
      <alignment horizontal="left" vertical="top" wrapText="1"/>
      <protection hidden="1"/>
    </xf>
    <xf numFmtId="0" fontId="7" fillId="8" borderId="0" xfId="0" applyFont="1" applyFill="1" applyAlignment="1" applyProtection="1">
      <alignment horizontal="left" vertical="top" wrapText="1"/>
      <protection hidden="1"/>
    </xf>
    <xf numFmtId="0" fontId="8" fillId="3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/>
      <protection locked="0" hidden="1"/>
    </xf>
    <xf numFmtId="164" fontId="0" fillId="0" borderId="0" xfId="0" applyNumberFormat="1" applyAlignment="1" applyProtection="1">
      <alignment horizontal="left"/>
      <protection locked="0" hidden="1"/>
    </xf>
    <xf numFmtId="14" fontId="0" fillId="0" borderId="0" xfId="0" applyNumberFormat="1" applyAlignment="1" applyProtection="1">
      <alignment horizontal="left"/>
      <protection locked="0" hidden="1"/>
    </xf>
    <xf numFmtId="1" fontId="0" fillId="0" borderId="0" xfId="0" applyNumberFormat="1" applyAlignment="1" applyProtection="1">
      <alignment horizontal="left"/>
      <protection hidden="1"/>
    </xf>
    <xf numFmtId="0" fontId="10" fillId="0" borderId="0" xfId="0" applyFont="1" applyProtection="1">
      <protection hidden="1"/>
    </xf>
    <xf numFmtId="0" fontId="11" fillId="2" borderId="0" xfId="1" applyAlignment="1" applyProtection="1">
      <alignment wrapText="1"/>
      <protection hidden="1"/>
    </xf>
    <xf numFmtId="0" fontId="12" fillId="0" borderId="0" xfId="0" applyFont="1" applyProtection="1">
      <protection hidden="1"/>
    </xf>
    <xf numFmtId="0" fontId="9" fillId="0" borderId="0" xfId="0" applyFont="1" applyAlignment="1" applyProtection="1">
      <alignment horizontal="center"/>
    </xf>
    <xf numFmtId="0" fontId="22" fillId="9" borderId="0" xfId="0" applyFont="1" applyFill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22" fillId="9" borderId="0" xfId="0" applyFont="1" applyFill="1" applyAlignment="1" applyProtection="1">
      <alignment horizontal="left"/>
      <protection hidden="1"/>
    </xf>
    <xf numFmtId="0" fontId="22" fillId="9" borderId="0" xfId="0" applyFont="1" applyFill="1" applyProtection="1">
      <protection hidden="1"/>
    </xf>
    <xf numFmtId="0" fontId="13" fillId="9" borderId="0" xfId="0" applyFont="1" applyFill="1" applyProtection="1">
      <protection hidden="1"/>
    </xf>
    <xf numFmtId="0" fontId="22" fillId="0" borderId="0" xfId="0" applyFont="1" applyAlignment="1" applyProtection="1">
      <alignment horizontal="center"/>
      <protection hidden="1"/>
    </xf>
    <xf numFmtId="0" fontId="22" fillId="0" borderId="0" xfId="0" applyFont="1" applyAlignment="1" applyProtection="1">
      <alignment horizontal="left"/>
      <protection hidden="1"/>
    </xf>
    <xf numFmtId="0" fontId="9" fillId="9" borderId="0" xfId="0" applyFont="1" applyFill="1" applyProtection="1"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vertical="center" wrapText="1"/>
      <protection hidden="1"/>
    </xf>
    <xf numFmtId="0" fontId="9" fillId="0" borderId="0" xfId="0" applyFont="1" applyAlignment="1" applyProtection="1">
      <alignment vertical="center"/>
      <protection hidden="1"/>
    </xf>
    <xf numFmtId="0" fontId="9" fillId="10" borderId="0" xfId="0" applyFont="1" applyFill="1" applyProtection="1">
      <protection hidden="1"/>
    </xf>
    <xf numFmtId="1" fontId="9" fillId="0" borderId="0" xfId="0" applyNumberFormat="1" applyFont="1" applyAlignment="1" applyProtection="1">
      <alignment horizontal="center" vertical="center"/>
      <protection hidden="1"/>
    </xf>
    <xf numFmtId="0" fontId="9" fillId="11" borderId="0" xfId="0" applyFont="1" applyFill="1" applyProtection="1">
      <protection hidden="1"/>
    </xf>
    <xf numFmtId="0" fontId="9" fillId="12" borderId="0" xfId="0" applyFont="1" applyFill="1" applyAlignment="1" applyProtection="1">
      <alignment vertical="center"/>
      <protection hidden="1"/>
    </xf>
    <xf numFmtId="0" fontId="9" fillId="12" borderId="0" xfId="0" applyFont="1" applyFill="1" applyProtection="1">
      <protection hidden="1"/>
    </xf>
    <xf numFmtId="0" fontId="9" fillId="0" borderId="0" xfId="0" applyFont="1" applyAlignment="1" applyProtection="1">
      <alignment horizontal="left" vertical="center" wrapText="1"/>
      <protection hidden="1"/>
    </xf>
    <xf numFmtId="164" fontId="9" fillId="0" borderId="0" xfId="0" applyNumberFormat="1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vertical="center" wrapText="1"/>
      <protection hidden="1"/>
    </xf>
    <xf numFmtId="0" fontId="9" fillId="0" borderId="0" xfId="0" applyFont="1" applyAlignment="1" applyProtection="1">
      <alignment horizontal="left" vertical="top" wrapText="1"/>
      <protection hidden="1"/>
    </xf>
    <xf numFmtId="0" fontId="22" fillId="13" borderId="0" xfId="0" applyFont="1" applyFill="1" applyAlignment="1" applyProtection="1">
      <alignment horizontal="center" vertical="center"/>
      <protection hidden="1"/>
    </xf>
    <xf numFmtId="0" fontId="39" fillId="0" borderId="0" xfId="0" applyFont="1" applyProtection="1">
      <protection hidden="1"/>
    </xf>
    <xf numFmtId="0" fontId="22" fillId="14" borderId="0" xfId="0" applyFont="1" applyFill="1" applyAlignment="1" applyProtection="1">
      <alignment vertical="center" wrapText="1"/>
      <protection hidden="1"/>
    </xf>
    <xf numFmtId="10" fontId="22" fillId="0" borderId="0" xfId="0" applyNumberFormat="1" applyFont="1" applyAlignment="1" applyProtection="1">
      <alignment horizontal="center" vertical="center" wrapText="1"/>
      <protection hidden="1"/>
    </xf>
    <xf numFmtId="0" fontId="22" fillId="14" borderId="7" xfId="0" applyFont="1" applyFill="1" applyBorder="1" applyAlignment="1" applyProtection="1">
      <alignment vertical="center" wrapText="1"/>
      <protection hidden="1"/>
    </xf>
    <xf numFmtId="0" fontId="13" fillId="0" borderId="0" xfId="0" applyFont="1" applyAlignment="1" applyProtection="1">
      <alignment horizontal="left" wrapText="1"/>
      <protection hidden="1"/>
    </xf>
    <xf numFmtId="0" fontId="22" fillId="15" borderId="0" xfId="0" applyFont="1" applyFill="1" applyAlignment="1" applyProtection="1">
      <alignment vertical="center" wrapText="1"/>
      <protection hidden="1"/>
    </xf>
    <xf numFmtId="10" fontId="0" fillId="0" borderId="0" xfId="0" applyNumberFormat="1" applyProtection="1">
      <protection hidden="1"/>
    </xf>
    <xf numFmtId="0" fontId="20" fillId="0" borderId="0" xfId="0" applyFont="1" applyProtection="1">
      <protection hidden="1"/>
    </xf>
    <xf numFmtId="0" fontId="23" fillId="9" borderId="0" xfId="0" applyFont="1" applyFill="1" applyProtection="1">
      <protection hidden="1"/>
    </xf>
    <xf numFmtId="0" fontId="24" fillId="9" borderId="0" xfId="0" applyFont="1" applyFill="1" applyProtection="1">
      <protection hidden="1"/>
    </xf>
    <xf numFmtId="0" fontId="21" fillId="0" borderId="0" xfId="0" applyFont="1" applyProtection="1">
      <protection hidden="1"/>
    </xf>
    <xf numFmtId="0" fontId="0" fillId="0" borderId="0" xfId="0" applyAlignment="1" applyProtection="1">
      <alignment vertical="center" wrapText="1"/>
      <protection hidden="1"/>
    </xf>
    <xf numFmtId="0" fontId="9" fillId="0" borderId="0" xfId="0" applyFont="1" applyAlignment="1" applyProtection="1">
      <alignment wrapText="1"/>
      <protection hidden="1"/>
    </xf>
    <xf numFmtId="0" fontId="0" fillId="9" borderId="0" xfId="0" applyFill="1" applyAlignment="1" applyProtection="1">
      <alignment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0" fillId="16" borderId="0" xfId="0" applyFill="1" applyProtection="1">
      <protection hidden="1"/>
    </xf>
    <xf numFmtId="0" fontId="0" fillId="9" borderId="0" xfId="0" applyFill="1" applyAlignment="1" applyProtection="1">
      <alignment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14" borderId="0" xfId="0" applyFill="1" applyProtection="1">
      <protection hidden="1"/>
    </xf>
    <xf numFmtId="0" fontId="13" fillId="14" borderId="0" xfId="0" applyFont="1" applyFill="1" applyAlignment="1" applyProtection="1">
      <alignment vertical="center"/>
      <protection hidden="1"/>
    </xf>
    <xf numFmtId="0" fontId="13" fillId="14" borderId="0" xfId="0" applyFont="1" applyFill="1" applyAlignment="1" applyProtection="1">
      <alignment vertical="center" wrapText="1"/>
      <protection hidden="1"/>
    </xf>
    <xf numFmtId="0" fontId="10" fillId="14" borderId="0" xfId="0" applyFont="1" applyFill="1" applyAlignment="1" applyProtection="1">
      <alignment vertical="center" wrapText="1"/>
      <protection hidden="1"/>
    </xf>
    <xf numFmtId="0" fontId="10" fillId="0" borderId="0" xfId="0" applyFont="1" applyAlignment="1" applyProtection="1">
      <alignment vertical="center" wrapText="1"/>
      <protection hidden="1"/>
    </xf>
    <xf numFmtId="0" fontId="15" fillId="5" borderId="0" xfId="0" applyFont="1" applyFill="1" applyAlignment="1" applyProtection="1">
      <alignment wrapText="1"/>
      <protection hidden="1"/>
    </xf>
    <xf numFmtId="10" fontId="9" fillId="0" borderId="0" xfId="0" applyNumberFormat="1" applyFont="1" applyAlignment="1" applyProtection="1">
      <alignment horizontal="center"/>
      <protection hidden="1"/>
    </xf>
    <xf numFmtId="166" fontId="9" fillId="0" borderId="0" xfId="0" applyNumberFormat="1" applyFont="1" applyAlignment="1" applyProtection="1">
      <alignment horizontal="center"/>
      <protection hidden="1"/>
    </xf>
    <xf numFmtId="0" fontId="37" fillId="0" borderId="0" xfId="0" applyFont="1" applyProtection="1">
      <protection hidden="1"/>
    </xf>
    <xf numFmtId="166" fontId="0" fillId="0" borderId="0" xfId="0" applyNumberFormat="1" applyProtection="1">
      <protection hidden="1"/>
    </xf>
    <xf numFmtId="0" fontId="35" fillId="0" borderId="0" xfId="0" applyFont="1" applyAlignment="1" applyProtection="1">
      <alignment horizontal="center" vertical="center" wrapText="1"/>
      <protection hidden="1"/>
    </xf>
    <xf numFmtId="0" fontId="36" fillId="0" borderId="0" xfId="0" applyFont="1" applyAlignment="1" applyProtection="1">
      <alignment horizontal="center" vertical="center" wrapText="1"/>
      <protection hidden="1"/>
    </xf>
    <xf numFmtId="0" fontId="33" fillId="0" borderId="0" xfId="0" applyFont="1" applyAlignment="1" applyProtection="1">
      <alignment horizontal="left" vertical="center" wrapText="1"/>
      <protection hidden="1"/>
    </xf>
    <xf numFmtId="0" fontId="34" fillId="0" borderId="0" xfId="0" applyFont="1" applyAlignment="1" applyProtection="1">
      <alignment horizontal="justify" vertical="center"/>
      <protection hidden="1"/>
    </xf>
    <xf numFmtId="165" fontId="31" fillId="0" borderId="9" xfId="0" applyNumberFormat="1" applyFont="1" applyBorder="1" applyAlignment="1" applyProtection="1">
      <alignment horizontal="center" vertical="center" wrapText="1"/>
      <protection hidden="1"/>
    </xf>
    <xf numFmtId="166" fontId="32" fillId="0" borderId="9" xfId="0" applyNumberFormat="1" applyFont="1" applyBorder="1" applyAlignment="1" applyProtection="1">
      <alignment horizontal="center" vertical="center" wrapText="1"/>
      <protection hidden="1"/>
    </xf>
    <xf numFmtId="165" fontId="32" fillId="0" borderId="9" xfId="0" applyNumberFormat="1" applyFont="1" applyBorder="1" applyAlignment="1" applyProtection="1">
      <alignment horizontal="center" vertical="center" wrapText="1"/>
      <protection hidden="1"/>
    </xf>
    <xf numFmtId="166" fontId="32" fillId="0" borderId="10" xfId="0" applyNumberFormat="1" applyFont="1" applyBorder="1" applyAlignment="1" applyProtection="1">
      <alignment horizontal="center" vertical="center" wrapText="1"/>
      <protection hidden="1"/>
    </xf>
    <xf numFmtId="2" fontId="32" fillId="0" borderId="11" xfId="0" applyNumberFormat="1" applyFont="1" applyBorder="1" applyAlignment="1" applyProtection="1">
      <alignment horizontal="center" vertical="center" wrapText="1"/>
      <protection hidden="1"/>
    </xf>
    <xf numFmtId="166" fontId="32" fillId="0" borderId="11" xfId="0" applyNumberFormat="1" applyFont="1" applyBorder="1" applyAlignment="1" applyProtection="1">
      <alignment horizontal="center" vertical="center" wrapText="1"/>
      <protection hidden="1"/>
    </xf>
    <xf numFmtId="166" fontId="32" fillId="0" borderId="9" xfId="0" applyNumberFormat="1" applyFont="1" applyBorder="1" applyAlignment="1" applyProtection="1">
      <alignment horizontal="left" vertical="center" wrapText="1"/>
      <protection hidden="1"/>
    </xf>
    <xf numFmtId="0" fontId="32" fillId="0" borderId="9" xfId="0" applyFont="1" applyBorder="1" applyAlignment="1" applyProtection="1">
      <alignment vertical="center" wrapText="1"/>
      <protection hidden="1"/>
    </xf>
    <xf numFmtId="166" fontId="32" fillId="0" borderId="9" xfId="0" applyNumberFormat="1" applyFont="1" applyBorder="1" applyAlignment="1" applyProtection="1">
      <alignment vertical="center" wrapText="1"/>
      <protection hidden="1"/>
    </xf>
    <xf numFmtId="2" fontId="32" fillId="0" borderId="9" xfId="0" applyNumberFormat="1" applyFont="1" applyBorder="1" applyAlignment="1" applyProtection="1">
      <alignment horizontal="center" vertical="center" wrapText="1"/>
      <protection hidden="1"/>
    </xf>
    <xf numFmtId="166" fontId="32" fillId="0" borderId="9" xfId="0" applyNumberFormat="1" applyFont="1" applyBorder="1" applyAlignment="1" applyProtection="1">
      <alignment wrapText="1"/>
      <protection hidden="1"/>
    </xf>
    <xf numFmtId="166" fontId="31" fillId="0" borderId="9" xfId="0" applyNumberFormat="1" applyFont="1" applyBorder="1" applyAlignment="1" applyProtection="1">
      <alignment vertical="center" wrapText="1"/>
      <protection hidden="1"/>
    </xf>
    <xf numFmtId="0" fontId="31" fillId="0" borderId="9" xfId="0" applyFont="1" applyBorder="1" applyAlignment="1" applyProtection="1">
      <alignment vertical="center" wrapText="1"/>
      <protection hidden="1"/>
    </xf>
    <xf numFmtId="166" fontId="32" fillId="0" borderId="0" xfId="0" applyNumberFormat="1" applyFont="1" applyAlignment="1" applyProtection="1">
      <alignment horizontal="left" vertical="center" wrapText="1"/>
      <protection hidden="1"/>
    </xf>
    <xf numFmtId="166" fontId="33" fillId="0" borderId="9" xfId="0" applyNumberFormat="1" applyFont="1" applyBorder="1" applyAlignment="1" applyProtection="1">
      <alignment horizontal="left" vertical="center" wrapText="1"/>
      <protection hidden="1"/>
    </xf>
    <xf numFmtId="166" fontId="32" fillId="0" borderId="10" xfId="0" applyNumberFormat="1" applyFont="1" applyBorder="1" applyAlignment="1" applyProtection="1">
      <alignment horizontal="left" vertical="center" wrapText="1"/>
      <protection hidden="1"/>
    </xf>
    <xf numFmtId="166" fontId="32" fillId="0" borderId="12" xfId="0" applyNumberFormat="1" applyFont="1" applyBorder="1" applyAlignment="1" applyProtection="1">
      <alignment horizontal="left" vertical="center" wrapText="1"/>
      <protection hidden="1"/>
    </xf>
    <xf numFmtId="166" fontId="32" fillId="20" borderId="9" xfId="0" applyNumberFormat="1" applyFont="1" applyFill="1" applyBorder="1" applyAlignment="1" applyProtection="1">
      <alignment horizontal="left" vertical="center" wrapText="1"/>
      <protection hidden="1"/>
    </xf>
    <xf numFmtId="166" fontId="32" fillId="20" borderId="10" xfId="0" applyNumberFormat="1" applyFont="1" applyFill="1" applyBorder="1" applyAlignment="1" applyProtection="1">
      <alignment horizontal="left" vertical="center" wrapText="1"/>
      <protection hidden="1"/>
    </xf>
    <xf numFmtId="165" fontId="32" fillId="0" borderId="9" xfId="0" applyNumberFormat="1" applyFont="1" applyBorder="1" applyAlignment="1" applyProtection="1">
      <alignment horizontal="left" vertical="center" wrapText="1"/>
      <protection hidden="1"/>
    </xf>
    <xf numFmtId="166" fontId="32" fillId="21" borderId="9" xfId="0" applyNumberFormat="1" applyFont="1" applyFill="1" applyBorder="1" applyAlignment="1" applyProtection="1">
      <alignment horizontal="left" vertical="center" wrapText="1"/>
      <protection hidden="1"/>
    </xf>
    <xf numFmtId="166" fontId="32" fillId="21" borderId="10" xfId="0" applyNumberFormat="1" applyFont="1" applyFill="1" applyBorder="1" applyAlignment="1" applyProtection="1">
      <alignment horizontal="left" vertical="center" wrapText="1"/>
      <protection hidden="1"/>
    </xf>
    <xf numFmtId="0" fontId="0" fillId="0" borderId="13" xfId="0" applyBorder="1" applyProtection="1">
      <protection hidden="1"/>
    </xf>
    <xf numFmtId="166" fontId="32" fillId="22" borderId="9" xfId="0" applyNumberFormat="1" applyFont="1" applyFill="1" applyBorder="1" applyAlignment="1" applyProtection="1">
      <alignment horizontal="left" vertical="center" wrapText="1"/>
      <protection hidden="1"/>
    </xf>
    <xf numFmtId="166" fontId="32" fillId="22" borderId="10" xfId="0" applyNumberFormat="1" applyFont="1" applyFill="1" applyBorder="1" applyAlignment="1" applyProtection="1">
      <alignment horizontal="left" vertical="center" wrapText="1"/>
      <protection hidden="1"/>
    </xf>
    <xf numFmtId="166" fontId="32" fillId="19" borderId="9" xfId="0" applyNumberFormat="1" applyFont="1" applyFill="1" applyBorder="1" applyAlignment="1" applyProtection="1">
      <alignment horizontal="left" vertical="center" wrapText="1"/>
      <protection hidden="1"/>
    </xf>
    <xf numFmtId="166" fontId="32" fillId="19" borderId="10" xfId="0" applyNumberFormat="1" applyFont="1" applyFill="1" applyBorder="1" applyAlignment="1" applyProtection="1">
      <alignment horizontal="left" vertical="center" wrapText="1"/>
      <protection hidden="1"/>
    </xf>
    <xf numFmtId="166" fontId="32" fillId="0" borderId="9" xfId="0" applyNumberFormat="1" applyFont="1" applyBorder="1" applyAlignment="1" applyProtection="1">
      <alignment horizontal="left" vertical="center"/>
      <protection hidden="1"/>
    </xf>
    <xf numFmtId="166" fontId="32" fillId="0" borderId="0" xfId="0" applyNumberFormat="1" applyFont="1" applyAlignment="1" applyProtection="1">
      <alignment horizontal="left" vertical="center"/>
      <protection hidden="1"/>
    </xf>
    <xf numFmtId="165" fontId="32" fillId="0" borderId="0" xfId="0" applyNumberFormat="1" applyFont="1" applyAlignment="1" applyProtection="1">
      <alignment horizontal="left" vertic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0" fillId="0" borderId="0" xfId="0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/>
      <protection hidden="1"/>
    </xf>
  </cellXfs>
  <cellStyles count="2">
    <cellStyle name="Excel Built-in Accent3" xfId="1" xr:uid="{00000000-0005-0000-0000-000001000000}"/>
    <cellStyle name="Обычный" xfId="0" builtinId="0"/>
  </cellStyles>
  <dxfs count="13">
    <dxf>
      <fill>
        <patternFill>
          <bgColor rgb="FFFF0000"/>
        </patternFill>
      </fill>
    </dxf>
    <dxf>
      <fill>
        <patternFill>
          <bgColor theme="9" tint="-0.249977111117893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9" tint="-0.249977111117893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9" tint="-0.249977111117893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D7D1A"/>
      <rgbColor rgb="FF000080"/>
      <rgbColor rgb="FF9BBB59"/>
      <rgbColor rgb="FF800080"/>
      <rgbColor rgb="FF4A7EBB"/>
      <rgbColor rgb="FFB3B3B3"/>
      <rgbColor rgb="FF878787"/>
      <rgbColor rgb="FFA6A6A6"/>
      <rgbColor rgb="FF993366"/>
      <rgbColor rgb="FFF2F2F2"/>
      <rgbColor rgb="FFE8EFF7"/>
      <rgbColor rgb="FF660066"/>
      <rgbColor rgb="FFFF8080"/>
      <rgbColor rgb="FF2E75B6"/>
      <rgbColor rgb="FFC0D0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D5E3F5"/>
      <rgbColor rgb="FFE2EFDA"/>
      <rgbColor rgb="FFDDDDDD"/>
      <rgbColor rgb="FFB8CCE4"/>
      <rgbColor rgb="FFD9D9D9"/>
      <rgbColor rgb="FFD0D8E4"/>
      <rgbColor rgb="FFFAC090"/>
      <rgbColor rgb="FF4472C4"/>
      <rgbColor rgb="FF33CCCC"/>
      <rgbColor rgb="FF92D050"/>
      <rgbColor rgb="FFC3D69B"/>
      <rgbColor rgb="FFFF9900"/>
      <rgbColor rgb="FFE46C0A"/>
      <rgbColor rgb="FF376092"/>
      <rgbColor rgb="FF888888"/>
      <rgbColor rgb="FF1F4E79"/>
      <rgbColor rgb="FF00B050"/>
      <rgbColor rgb="FF444444"/>
      <rgbColor rgb="FF1E1C11"/>
      <rgbColor rgb="FFC55A11"/>
      <rgbColor rgb="FF993366"/>
      <rgbColor rgb="FF403152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title>
      <c:tx>
        <c:rich>
          <a:bodyPr rot="0"/>
          <a:lstStyle/>
          <a:p>
            <a:pPr>
              <a:defRPr lang="ru-RU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ru-RU" sz="1800" b="1" strike="noStrike" spc="-1">
                <a:solidFill>
                  <a:srgbClr val="000000"/>
                </a:solidFill>
                <a:latin typeface="Calibri"/>
              </a:rPr>
              <a:t>Профиль развития ребенка</a:t>
            </a:r>
          </a:p>
        </c:rich>
      </c:tx>
      <c:overlay val="0"/>
      <c:spPr>
        <a:noFill/>
        <a:ln w="0">
          <a:noFill/>
          <a:prstDash val="solid"/>
        </a:ln>
      </c:sp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440">
              <a:solidFill>
                <a:srgbClr val="4A7EBB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профиль!$A$2:$A$8</c:f>
              <c:strCache>
                <c:ptCount val="7"/>
                <c:pt idx="0">
                  <c:v>Физика</c:v>
                </c:pt>
                <c:pt idx="1">
                  <c:v>Мелкая моторика</c:v>
                </c:pt>
                <c:pt idx="2">
                  <c:v>Речь</c:v>
                </c:pt>
                <c:pt idx="3">
                  <c:v>Когнитив</c:v>
                </c:pt>
                <c:pt idx="4">
                  <c:v>Эмоции</c:v>
                </c:pt>
                <c:pt idx="5">
                  <c:v>Социал</c:v>
                </c:pt>
                <c:pt idx="6">
                  <c:v>Самообслуживание</c:v>
                </c:pt>
              </c:strCache>
            </c:strRef>
          </c:cat>
          <c:val>
            <c:numRef>
              <c:f>профиль!$B$2:$B$8</c:f>
              <c:numCache>
                <c:formatCode>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9A-43E0-B623-E0ADA7217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622161"/>
        <c:axId val="33321461"/>
      </c:radarChart>
      <c:catAx>
        <c:axId val="92622161"/>
        <c:scaling>
          <c:orientation val="maxMin"/>
        </c:scaling>
        <c:delete val="0"/>
        <c:axPos val="b"/>
        <c:majorGridlines>
          <c:spPr>
            <a:ln w="9360">
              <a:solidFill>
                <a:srgbClr val="878787"/>
              </a:solidFill>
              <a:prstDash val="solid"/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noFill/>
            <a:prstDash val="solid"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33321461"/>
        <c:crosses val="autoZero"/>
        <c:auto val="1"/>
        <c:lblAlgn val="ctr"/>
        <c:lblOffset val="100"/>
        <c:noMultiLvlLbl val="0"/>
      </c:catAx>
      <c:valAx>
        <c:axId val="33321461"/>
        <c:scaling>
          <c:orientation val="minMax"/>
          <c:max val="84"/>
          <c:min val="0"/>
        </c:scaling>
        <c:delete val="0"/>
        <c:axPos val="l"/>
        <c:majorGridlines>
          <c:spPr>
            <a:ln w="9360">
              <a:solidFill>
                <a:srgbClr val="878787"/>
              </a:solidFill>
              <a:prstDash val="solid"/>
              <a:round/>
            </a:ln>
          </c:spPr>
        </c:majorGridlines>
        <c:numFmt formatCode="0.0" sourceLinked="0"/>
        <c:majorTickMark val="cross"/>
        <c:minorTickMark val="none"/>
        <c:tickLblPos val="nextTo"/>
        <c:spPr>
          <a:ln w="9360">
            <a:solidFill>
              <a:srgbClr val="878787"/>
            </a:solidFill>
            <a:prstDash val="solid"/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92622161"/>
        <c:crosses val="autoZero"/>
        <c:crossBetween val="midCat"/>
        <c:majorUnit val="12"/>
      </c:valAx>
    </c:plotArea>
    <c:legend>
      <c:legendPos val="r"/>
      <c:overlay val="0"/>
      <c:spPr>
        <a:noFill/>
        <a:ln w="0">
          <a:noFill/>
          <a:prstDash val="solid"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title>
      <c:tx>
        <c:rich>
          <a:bodyPr rot="0"/>
          <a:lstStyle/>
          <a:p>
            <a:pPr>
              <a:defRPr lang="ru-RU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ru-RU" sz="1800" b="1" strike="noStrike" spc="-1">
                <a:solidFill>
                  <a:srgbClr val="000000"/>
                </a:solidFill>
                <a:latin typeface="Calibri"/>
              </a:rPr>
              <a:t>График развития ребенка</a:t>
            </a:r>
          </a:p>
        </c:rich>
      </c:tx>
      <c:overlay val="0"/>
      <c:spPr>
        <a:noFill/>
        <a:ln w="0"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профиль!$F$1</c:f>
              <c:strCache>
                <c:ptCount val="1"/>
                <c:pt idx="0">
                  <c:v>% от возраста</c:v>
                </c:pt>
              </c:strCache>
            </c:strRef>
          </c:tx>
          <c:spPr>
            <a:solidFill>
              <a:srgbClr val="4472C4"/>
            </a:solidFill>
            <a:ln w="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профиль!$A$2:$A$8</c:f>
              <c:strCache>
                <c:ptCount val="7"/>
                <c:pt idx="0">
                  <c:v>Физика</c:v>
                </c:pt>
                <c:pt idx="1">
                  <c:v>Мелкая моторика</c:v>
                </c:pt>
                <c:pt idx="2">
                  <c:v>Речь</c:v>
                </c:pt>
                <c:pt idx="3">
                  <c:v>Когнитив</c:v>
                </c:pt>
                <c:pt idx="4">
                  <c:v>Эмоции</c:v>
                </c:pt>
                <c:pt idx="5">
                  <c:v>Социал</c:v>
                </c:pt>
                <c:pt idx="6">
                  <c:v>Самообслуживание</c:v>
                </c:pt>
              </c:strCache>
            </c:strRef>
          </c:cat>
          <c:val>
            <c:numRef>
              <c:f>профиль!$F$2:$F$8</c:f>
              <c:numCache>
                <c:formatCode>0.0%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A7-471D-8B69-1D39288E2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837245"/>
        <c:axId val="84215741"/>
      </c:barChart>
      <c:lineChart>
        <c:grouping val="standard"/>
        <c:varyColors val="0"/>
        <c:ser>
          <c:idx val="1"/>
          <c:order val="1"/>
          <c:tx>
            <c:strRef>
              <c:f>профиль!$N$1</c:f>
              <c:strCache>
                <c:ptCount val="1"/>
                <c:pt idx="0">
                  <c:v>Норма 90%</c:v>
                </c:pt>
              </c:strCache>
            </c:strRef>
          </c:tx>
          <c:spPr>
            <a:ln w="28080">
              <a:solidFill>
                <a:srgbClr val="FF0000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профиль!$A$2:$A$8</c:f>
              <c:strCache>
                <c:ptCount val="7"/>
                <c:pt idx="0">
                  <c:v>Физика</c:v>
                </c:pt>
                <c:pt idx="1">
                  <c:v>Мелкая моторика</c:v>
                </c:pt>
                <c:pt idx="2">
                  <c:v>Речь</c:v>
                </c:pt>
                <c:pt idx="3">
                  <c:v>Когнитив</c:v>
                </c:pt>
                <c:pt idx="4">
                  <c:v>Эмоции</c:v>
                </c:pt>
                <c:pt idx="5">
                  <c:v>Социал</c:v>
                </c:pt>
                <c:pt idx="6">
                  <c:v>Самообслуживание</c:v>
                </c:pt>
              </c:strCache>
            </c:strRef>
          </c:cat>
          <c:val>
            <c:numRef>
              <c:f>профиль!$N$2:$N$8</c:f>
              <c:numCache>
                <c:formatCode>General</c:formatCode>
                <c:ptCount val="7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2A7-471D-8B69-1D39288E2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  <a:prstDash val="solid"/>
            </a:ln>
          </c:spPr>
        </c:hiLowLines>
        <c:marker val="1"/>
        <c:smooth val="0"/>
        <c:axId val="27837245"/>
        <c:axId val="84215741"/>
      </c:lineChart>
      <c:catAx>
        <c:axId val="2783724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  <a:prstDash val="solid"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84215741"/>
        <c:crosses val="autoZero"/>
        <c:auto val="1"/>
        <c:lblAlgn val="ctr"/>
        <c:lblOffset val="100"/>
        <c:noMultiLvlLbl val="0"/>
      </c:catAx>
      <c:valAx>
        <c:axId val="84215741"/>
        <c:scaling>
          <c:orientation val="minMax"/>
          <c:max val="1"/>
          <c:min val="0"/>
        </c:scaling>
        <c:delete val="0"/>
        <c:axPos val="l"/>
        <c:majorGridlines>
          <c:spPr>
            <a:ln w="0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 rot="-5400000"/>
              <a:lstStyle/>
              <a:p>
                <a:pPr>
                  <a:defRPr lang="ru-RU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ru-RU" sz="1000" b="1" strike="noStrike" spc="-1">
                    <a:solidFill>
                      <a:srgbClr val="000000"/>
                    </a:solidFill>
                    <a:latin typeface="Calibri"/>
                  </a:rPr>
                  <a:t>% освоения навыков</a:t>
                </a:r>
              </a:p>
            </c:rich>
          </c:tx>
          <c:overlay val="0"/>
          <c:spPr>
            <a:noFill/>
            <a:ln w="0">
              <a:noFill/>
              <a:prstDash val="solid"/>
            </a:ln>
          </c:spPr>
        </c:title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  <a:prstDash val="solid"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27837245"/>
        <c:crosses val="autoZero"/>
        <c:crossBetween val="between"/>
      </c:valAx>
    </c:plotArea>
    <c:legend>
      <c:legendPos val="r"/>
      <c:overlay val="0"/>
      <c:spPr>
        <a:noFill/>
        <a:ln w="0">
          <a:noFill/>
          <a:prstDash val="solid"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b="1">
                <a:solidFill>
                  <a:sysClr val="windowText" lastClr="000000"/>
                </a:solidFill>
              </a:rPr>
              <a:t>Динамика</a:t>
            </a:r>
            <a:r>
              <a:rPr lang="ru-RU" b="1" baseline="0">
                <a:solidFill>
                  <a:sysClr val="windowText" lastClr="000000"/>
                </a:solidFill>
              </a:rPr>
              <a:t> развития во времени</a:t>
            </a:r>
            <a:endParaRPr lang="ru-RU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ИНСТРУКЦИЯ!$B$12</c:f>
              <c:strCache>
                <c:ptCount val="1"/>
                <c:pt idx="0">
                  <c:v>Средний индекс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</c:spPr>
          <c:marker>
            <c:symbol val="none"/>
          </c:marker>
          <c:cat>
            <c:numRef>
              <c:f>ИНСТРУКЦИЯ!$A$13:$A$15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ИНСТРУКЦИЯ!$B$13:$B$15</c:f>
              <c:numCache>
                <c:formatCode>0.00%</c:formatCode>
                <c:ptCount val="3"/>
                <c:pt idx="0">
                  <c:v>0</c:v>
                </c:pt>
                <c:pt idx="1">
                  <c:v>0.42</c:v>
                </c:pt>
                <c:pt idx="2">
                  <c:v>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78-4BF6-A40A-A646418E5BE6}"/>
            </c:ext>
          </c:extLst>
        </c:ser>
        <c:ser>
          <c:idx val="1"/>
          <c:order val="1"/>
          <c:tx>
            <c:strRef>
              <c:f>ИНСТРУКЦИЯ!$C$12</c:f>
              <c:strCache>
                <c:ptCount val="1"/>
                <c:pt idx="0">
                  <c:v>Физика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</c:spPr>
          <c:marker>
            <c:symbol val="none"/>
          </c:marker>
          <c:cat>
            <c:numRef>
              <c:f>ИНСТРУКЦИЯ!$A$13:$A$15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ИНСТРУКЦИЯ!$C$13:$C$15</c:f>
              <c:numCache>
                <c:formatCode>0.00%</c:formatCode>
                <c:ptCount val="3"/>
                <c:pt idx="0">
                  <c:v>0</c:v>
                </c:pt>
                <c:pt idx="1">
                  <c:v>0.45</c:v>
                </c:pt>
                <c:pt idx="2">
                  <c:v>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78-4BF6-A40A-A646418E5BE6}"/>
            </c:ext>
          </c:extLst>
        </c:ser>
        <c:ser>
          <c:idx val="2"/>
          <c:order val="2"/>
          <c:tx>
            <c:strRef>
              <c:f>ИНСТРУКЦИЯ!$D$12</c:f>
              <c:strCache>
                <c:ptCount val="1"/>
                <c:pt idx="0">
                  <c:v>Моторика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olid"/>
              <a:round/>
            </a:ln>
          </c:spPr>
          <c:marker>
            <c:symbol val="none"/>
          </c:marker>
          <c:cat>
            <c:numRef>
              <c:f>ИНСТРУКЦИЯ!$A$13:$A$15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ИНСТРУКЦИЯ!$D$13:$D$15</c:f>
              <c:numCache>
                <c:formatCode>0.00%</c:formatCode>
                <c:ptCount val="3"/>
                <c:pt idx="0">
                  <c:v>0</c:v>
                </c:pt>
                <c:pt idx="1">
                  <c:v>0.46</c:v>
                </c:pt>
                <c:pt idx="2">
                  <c:v>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78-4BF6-A40A-A646418E5BE6}"/>
            </c:ext>
          </c:extLst>
        </c:ser>
        <c:ser>
          <c:idx val="3"/>
          <c:order val="3"/>
          <c:tx>
            <c:strRef>
              <c:f>ИНСТРУКЦИЯ!$E$12</c:f>
              <c:strCache>
                <c:ptCount val="1"/>
                <c:pt idx="0">
                  <c:v>Речь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solid"/>
              <a:round/>
            </a:ln>
          </c:spPr>
          <c:marker>
            <c:symbol val="none"/>
          </c:marker>
          <c:cat>
            <c:numRef>
              <c:f>ИНСТРУКЦИЯ!$A$13:$A$15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ИНСТРУКЦИЯ!$E$13:$E$15</c:f>
              <c:numCache>
                <c:formatCode>0.00%</c:formatCode>
                <c:ptCount val="3"/>
                <c:pt idx="0">
                  <c:v>0</c:v>
                </c:pt>
                <c:pt idx="1">
                  <c:v>0.44</c:v>
                </c:pt>
                <c:pt idx="2">
                  <c:v>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78-4BF6-A40A-A646418E5BE6}"/>
            </c:ext>
          </c:extLst>
        </c:ser>
        <c:ser>
          <c:idx val="4"/>
          <c:order val="4"/>
          <c:tx>
            <c:strRef>
              <c:f>ИНСТРУКЦИЯ!$F$12</c:f>
              <c:strCache>
                <c:ptCount val="1"/>
                <c:pt idx="0">
                  <c:v>Когнитив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olid"/>
              <a:round/>
            </a:ln>
          </c:spPr>
          <c:marker>
            <c:symbol val="none"/>
          </c:marker>
          <c:cat>
            <c:numRef>
              <c:f>ИНСТРУКЦИЯ!$A$13:$A$15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ИНСТРУКЦИЯ!$F$13:$F$15</c:f>
              <c:numCache>
                <c:formatCode>0.00%</c:formatCode>
                <c:ptCount val="3"/>
                <c:pt idx="0">
                  <c:v>0</c:v>
                </c:pt>
                <c:pt idx="1">
                  <c:v>0.4</c:v>
                </c:pt>
                <c:pt idx="2">
                  <c:v>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78-4BF6-A40A-A646418E5BE6}"/>
            </c:ext>
          </c:extLst>
        </c:ser>
        <c:ser>
          <c:idx val="5"/>
          <c:order val="5"/>
          <c:tx>
            <c:strRef>
              <c:f>ИНСТРУКЦИЯ!$G$12</c:f>
              <c:strCache>
                <c:ptCount val="1"/>
                <c:pt idx="0">
                  <c:v>Эмоции</c:v>
                </c:pt>
              </c:strCache>
            </c:strRef>
          </c:tx>
          <c:spPr>
            <a:ln w="28575" cap="rnd">
              <a:solidFill>
                <a:schemeClr val="accent6"/>
              </a:solidFill>
              <a:prstDash val="solid"/>
              <a:round/>
            </a:ln>
          </c:spPr>
          <c:marker>
            <c:symbol val="none"/>
          </c:marker>
          <c:cat>
            <c:numRef>
              <c:f>ИНСТРУКЦИЯ!$A$13:$A$15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ИНСТРУКЦИЯ!$G$13:$G$15</c:f>
              <c:numCache>
                <c:formatCode>0.00%</c:formatCode>
                <c:ptCount val="3"/>
                <c:pt idx="0">
                  <c:v>0</c:v>
                </c:pt>
                <c:pt idx="1">
                  <c:v>0.55000000000000004</c:v>
                </c:pt>
                <c:pt idx="2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78-4BF6-A40A-A646418E5BE6}"/>
            </c:ext>
          </c:extLst>
        </c:ser>
        <c:ser>
          <c:idx val="6"/>
          <c:order val="6"/>
          <c:tx>
            <c:strRef>
              <c:f>ИНСТРУКЦИЯ!$H$12</c:f>
              <c:strCache>
                <c:ptCount val="1"/>
                <c:pt idx="0">
                  <c:v>Социал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prstDash val="solid"/>
              <a:round/>
            </a:ln>
          </c:spPr>
          <c:marker>
            <c:symbol val="none"/>
          </c:marker>
          <c:cat>
            <c:numRef>
              <c:f>ИНСТРУКЦИЯ!$A$13:$A$15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ИНСТРУКЦИЯ!$H$13:$H$15</c:f>
              <c:numCache>
                <c:formatCode>0.00%</c:formatCode>
                <c:ptCount val="3"/>
                <c:pt idx="0">
                  <c:v>0</c:v>
                </c:pt>
                <c:pt idx="1">
                  <c:v>0.42</c:v>
                </c:pt>
                <c:pt idx="2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478-4BF6-A40A-A646418E5BE6}"/>
            </c:ext>
          </c:extLst>
        </c:ser>
        <c:ser>
          <c:idx val="7"/>
          <c:order val="7"/>
          <c:tx>
            <c:strRef>
              <c:f>ИНСТРУКЦИЯ!$I$12</c:f>
              <c:strCache>
                <c:ptCount val="1"/>
                <c:pt idx="0">
                  <c:v>самообслуживание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prstDash val="solid"/>
              <a:round/>
            </a:ln>
          </c:spPr>
          <c:marker>
            <c:symbol val="none"/>
          </c:marker>
          <c:cat>
            <c:numRef>
              <c:f>ИНСТРУКЦИЯ!$A$13:$A$15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ИНСТРУКЦИЯ!$I$13:$I$15</c:f>
              <c:numCache>
                <c:formatCode>0.00%</c:formatCode>
                <c:ptCount val="3"/>
                <c:pt idx="0">
                  <c:v>0</c:v>
                </c:pt>
                <c:pt idx="1">
                  <c:v>0.02</c:v>
                </c:pt>
                <c:pt idx="2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478-4BF6-A40A-A646418E5BE6}"/>
            </c:ext>
          </c:extLst>
        </c:ser>
        <c:ser>
          <c:idx val="8"/>
          <c:order val="8"/>
          <c:tx>
            <c:strRef>
              <c:f>ИНСТРУКЦИЯ!#REF!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prstDash val="solid"/>
              <a:round/>
            </a:ln>
          </c:spPr>
          <c:marker>
            <c:symbol val="none"/>
          </c:marker>
          <c:cat>
            <c:numRef>
              <c:f>ИНСТРУКЦИЯ!$A$13:$A$15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ИНСТРУКЦИЯ!#REF!</c:f>
              <c:numCache>
                <c:formatCode>General</c:formatCode>
                <c:ptCount val="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78-4BF6-A40A-A646418E5BE6}"/>
            </c:ext>
          </c:extLst>
        </c:ser>
        <c:ser>
          <c:idx val="9"/>
          <c:order val="9"/>
          <c:tx>
            <c:strRef>
              <c:f>ИНСТРУКЦИЯ!$J$12</c:f>
              <c:strCache>
                <c:ptCount val="1"/>
                <c:pt idx="0">
                  <c:v>Норма (90%)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</c:spPr>
          <c:marker>
            <c:symbol val="none"/>
          </c:marker>
          <c:cat>
            <c:numRef>
              <c:f>ИНСТРУКЦИЯ!$A$13:$A$15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ИНСТРУКЦИЯ!$J$13:$J$15</c:f>
              <c:numCache>
                <c:formatCode>General</c:formatCode>
                <c:ptCount val="3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478-4BF6-A40A-A646418E5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3149152"/>
        <c:axId val="363147904"/>
      </c:lineChart>
      <c:dateAx>
        <c:axId val="36314915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3147904"/>
        <c:crosses val="autoZero"/>
        <c:auto val="1"/>
        <c:lblOffset val="100"/>
        <c:baseTimeUnit val="days"/>
      </c:dateAx>
      <c:valAx>
        <c:axId val="363147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3149152"/>
        <c:crosses val="autoZero"/>
        <c:crossBetween val="between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title>
      <c:tx>
        <c:rich>
          <a:bodyPr rot="0"/>
          <a:lstStyle/>
          <a:p>
            <a:pPr>
              <a:defRPr lang="ru-RU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ru-RU" sz="1800" b="1" strike="noStrike" spc="-1">
                <a:solidFill>
                  <a:srgbClr val="000000"/>
                </a:solidFill>
                <a:latin typeface="Calibri"/>
              </a:rPr>
              <a:t>Профиль развития ребенка</a:t>
            </a:r>
          </a:p>
        </c:rich>
      </c:tx>
      <c:overlay val="0"/>
      <c:spPr>
        <a:noFill/>
        <a:ln w="0">
          <a:noFill/>
          <a:prstDash val="solid"/>
        </a:ln>
      </c:sp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440">
              <a:solidFill>
                <a:srgbClr val="4A7EBB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профиль!$A$2:$A$8</c:f>
              <c:strCache>
                <c:ptCount val="7"/>
                <c:pt idx="0">
                  <c:v>Физика</c:v>
                </c:pt>
                <c:pt idx="1">
                  <c:v>Мелкая моторика</c:v>
                </c:pt>
                <c:pt idx="2">
                  <c:v>Речь</c:v>
                </c:pt>
                <c:pt idx="3">
                  <c:v>Когнитив</c:v>
                </c:pt>
                <c:pt idx="4">
                  <c:v>Эмоции</c:v>
                </c:pt>
                <c:pt idx="5">
                  <c:v>Социал</c:v>
                </c:pt>
                <c:pt idx="6">
                  <c:v>Самообслуживание</c:v>
                </c:pt>
              </c:strCache>
            </c:strRef>
          </c:cat>
          <c:val>
            <c:numRef>
              <c:f>профиль!$B$2:$B$8</c:f>
              <c:numCache>
                <c:formatCode>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76-4A72-B30D-FF4447CF5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622161"/>
        <c:axId val="33321461"/>
      </c:radarChart>
      <c:catAx>
        <c:axId val="92622161"/>
        <c:scaling>
          <c:orientation val="maxMin"/>
        </c:scaling>
        <c:delete val="0"/>
        <c:axPos val="b"/>
        <c:majorGridlines>
          <c:spPr>
            <a:ln w="9360">
              <a:solidFill>
                <a:srgbClr val="878787"/>
              </a:solidFill>
              <a:prstDash val="solid"/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noFill/>
            <a:prstDash val="solid"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33321461"/>
        <c:crosses val="autoZero"/>
        <c:auto val="1"/>
        <c:lblAlgn val="ctr"/>
        <c:lblOffset val="100"/>
        <c:noMultiLvlLbl val="0"/>
      </c:catAx>
      <c:valAx>
        <c:axId val="33321461"/>
        <c:scaling>
          <c:orientation val="minMax"/>
          <c:max val="84"/>
          <c:min val="0"/>
        </c:scaling>
        <c:delete val="0"/>
        <c:axPos val="l"/>
        <c:majorGridlines>
          <c:spPr>
            <a:ln w="9360">
              <a:solidFill>
                <a:srgbClr val="878787"/>
              </a:solidFill>
              <a:prstDash val="solid"/>
              <a:round/>
            </a:ln>
          </c:spPr>
        </c:majorGridlines>
        <c:numFmt formatCode="0.0" sourceLinked="0"/>
        <c:majorTickMark val="cross"/>
        <c:minorTickMark val="none"/>
        <c:tickLblPos val="nextTo"/>
        <c:spPr>
          <a:ln w="9360">
            <a:solidFill>
              <a:srgbClr val="878787"/>
            </a:solidFill>
            <a:prstDash val="solid"/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92622161"/>
        <c:crosses val="autoZero"/>
        <c:crossBetween val="midCat"/>
        <c:majorUnit val="12"/>
      </c:valAx>
    </c:plotArea>
    <c:legend>
      <c:legendPos val="r"/>
      <c:overlay val="0"/>
      <c:spPr>
        <a:noFill/>
        <a:ln w="0">
          <a:noFill/>
          <a:prstDash val="solid"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title>
      <c:tx>
        <c:rich>
          <a:bodyPr rot="0"/>
          <a:lstStyle/>
          <a:p>
            <a:pPr>
              <a:defRPr lang="ru-RU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ru-RU" sz="1800" b="1" strike="noStrike" spc="-1">
                <a:solidFill>
                  <a:srgbClr val="000000"/>
                </a:solidFill>
                <a:latin typeface="Calibri"/>
              </a:rPr>
              <a:t>График развития ребенка</a:t>
            </a:r>
          </a:p>
        </c:rich>
      </c:tx>
      <c:overlay val="0"/>
      <c:spPr>
        <a:noFill/>
        <a:ln w="0"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профиль!$F$1</c:f>
              <c:strCache>
                <c:ptCount val="1"/>
                <c:pt idx="0">
                  <c:v>% от возраста</c:v>
                </c:pt>
              </c:strCache>
            </c:strRef>
          </c:tx>
          <c:spPr>
            <a:solidFill>
              <a:srgbClr val="4472C4"/>
            </a:solidFill>
            <a:ln w="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профиль!$A$2:$A$8</c:f>
              <c:strCache>
                <c:ptCount val="7"/>
                <c:pt idx="0">
                  <c:v>Физика</c:v>
                </c:pt>
                <c:pt idx="1">
                  <c:v>Мелкая моторика</c:v>
                </c:pt>
                <c:pt idx="2">
                  <c:v>Речь</c:v>
                </c:pt>
                <c:pt idx="3">
                  <c:v>Когнитив</c:v>
                </c:pt>
                <c:pt idx="4">
                  <c:v>Эмоции</c:v>
                </c:pt>
                <c:pt idx="5">
                  <c:v>Социал</c:v>
                </c:pt>
                <c:pt idx="6">
                  <c:v>Самообслуживание</c:v>
                </c:pt>
              </c:strCache>
            </c:strRef>
          </c:cat>
          <c:val>
            <c:numRef>
              <c:f>профиль!$F$2:$F$8</c:f>
              <c:numCache>
                <c:formatCode>0.0%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18-4259-9B92-B9238E78A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837245"/>
        <c:axId val="84215741"/>
      </c:barChart>
      <c:lineChart>
        <c:grouping val="standard"/>
        <c:varyColors val="0"/>
        <c:ser>
          <c:idx val="1"/>
          <c:order val="1"/>
          <c:tx>
            <c:strRef>
              <c:f>профиль!$N$1</c:f>
              <c:strCache>
                <c:ptCount val="1"/>
                <c:pt idx="0">
                  <c:v>Норма 90%</c:v>
                </c:pt>
              </c:strCache>
            </c:strRef>
          </c:tx>
          <c:spPr>
            <a:ln w="28080">
              <a:solidFill>
                <a:srgbClr val="FF0000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профиль!$A$2:$A$8</c:f>
              <c:strCache>
                <c:ptCount val="7"/>
                <c:pt idx="0">
                  <c:v>Физика</c:v>
                </c:pt>
                <c:pt idx="1">
                  <c:v>Мелкая моторика</c:v>
                </c:pt>
                <c:pt idx="2">
                  <c:v>Речь</c:v>
                </c:pt>
                <c:pt idx="3">
                  <c:v>Когнитив</c:v>
                </c:pt>
                <c:pt idx="4">
                  <c:v>Эмоции</c:v>
                </c:pt>
                <c:pt idx="5">
                  <c:v>Социал</c:v>
                </c:pt>
                <c:pt idx="6">
                  <c:v>Самообслуживание</c:v>
                </c:pt>
              </c:strCache>
            </c:strRef>
          </c:cat>
          <c:val>
            <c:numRef>
              <c:f>профиль!$N$2:$N$8</c:f>
              <c:numCache>
                <c:formatCode>General</c:formatCode>
                <c:ptCount val="7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E18-4259-9B92-B9238E78A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  <a:prstDash val="solid"/>
            </a:ln>
          </c:spPr>
        </c:hiLowLines>
        <c:marker val="1"/>
        <c:smooth val="0"/>
        <c:axId val="27837245"/>
        <c:axId val="84215741"/>
      </c:lineChart>
      <c:catAx>
        <c:axId val="2783724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  <a:prstDash val="solid"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84215741"/>
        <c:crosses val="autoZero"/>
        <c:auto val="1"/>
        <c:lblAlgn val="ctr"/>
        <c:lblOffset val="100"/>
        <c:noMultiLvlLbl val="0"/>
      </c:catAx>
      <c:valAx>
        <c:axId val="84215741"/>
        <c:scaling>
          <c:orientation val="minMax"/>
          <c:max val="1"/>
          <c:min val="0"/>
        </c:scaling>
        <c:delete val="0"/>
        <c:axPos val="l"/>
        <c:majorGridlines>
          <c:spPr>
            <a:ln w="0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 rot="-5400000"/>
              <a:lstStyle/>
              <a:p>
                <a:pPr>
                  <a:defRPr lang="ru-RU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ru-RU" sz="1000" b="1" strike="noStrike" spc="-1">
                    <a:solidFill>
                      <a:srgbClr val="000000"/>
                    </a:solidFill>
                    <a:latin typeface="Calibri"/>
                  </a:rPr>
                  <a:t>% освоения навыков</a:t>
                </a:r>
              </a:p>
            </c:rich>
          </c:tx>
          <c:overlay val="0"/>
          <c:spPr>
            <a:noFill/>
            <a:ln w="0">
              <a:noFill/>
              <a:prstDash val="solid"/>
            </a:ln>
          </c:spPr>
        </c:title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  <a:prstDash val="solid"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27837245"/>
        <c:crosses val="autoZero"/>
        <c:crossBetween val="between"/>
      </c:valAx>
    </c:plotArea>
    <c:legend>
      <c:legendPos val="r"/>
      <c:overlay val="0"/>
      <c:spPr>
        <a:noFill/>
        <a:ln w="0">
          <a:noFill/>
          <a:prstDash val="solid"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b="1">
                <a:solidFill>
                  <a:sysClr val="windowText" lastClr="000000"/>
                </a:solidFill>
              </a:rPr>
              <a:t>Динамика</a:t>
            </a:r>
            <a:r>
              <a:rPr lang="ru-RU" b="1" baseline="0">
                <a:solidFill>
                  <a:sysClr val="windowText" lastClr="000000"/>
                </a:solidFill>
              </a:rPr>
              <a:t> развития во времени</a:t>
            </a:r>
            <a:endParaRPr lang="ru-RU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ИНСТРУКЦИЯ!$B$12</c:f>
              <c:strCache>
                <c:ptCount val="1"/>
                <c:pt idx="0">
                  <c:v>Средний индекс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</c:spPr>
          <c:marker>
            <c:symbol val="none"/>
          </c:marker>
          <c:cat>
            <c:numRef>
              <c:f>ИНСТРУКЦИЯ!$A$13:$A$15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ИНСТРУКЦИЯ!$B$13:$B$15</c:f>
              <c:numCache>
                <c:formatCode>0.00%</c:formatCode>
                <c:ptCount val="3"/>
                <c:pt idx="0">
                  <c:v>0</c:v>
                </c:pt>
                <c:pt idx="1">
                  <c:v>0.42</c:v>
                </c:pt>
                <c:pt idx="2">
                  <c:v>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5A-4B65-A1BB-4A198A42F395}"/>
            </c:ext>
          </c:extLst>
        </c:ser>
        <c:ser>
          <c:idx val="1"/>
          <c:order val="1"/>
          <c:tx>
            <c:strRef>
              <c:f>ИНСТРУКЦИЯ!$C$12</c:f>
              <c:strCache>
                <c:ptCount val="1"/>
                <c:pt idx="0">
                  <c:v>Физика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</c:spPr>
          <c:marker>
            <c:symbol val="none"/>
          </c:marker>
          <c:cat>
            <c:numRef>
              <c:f>ИНСТРУКЦИЯ!$A$13:$A$15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ИНСТРУКЦИЯ!$C$13:$C$15</c:f>
              <c:numCache>
                <c:formatCode>0.00%</c:formatCode>
                <c:ptCount val="3"/>
                <c:pt idx="0">
                  <c:v>0</c:v>
                </c:pt>
                <c:pt idx="1">
                  <c:v>0.45</c:v>
                </c:pt>
                <c:pt idx="2">
                  <c:v>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5A-4B65-A1BB-4A198A42F395}"/>
            </c:ext>
          </c:extLst>
        </c:ser>
        <c:ser>
          <c:idx val="2"/>
          <c:order val="2"/>
          <c:tx>
            <c:strRef>
              <c:f>ИНСТРУКЦИЯ!$D$12</c:f>
              <c:strCache>
                <c:ptCount val="1"/>
                <c:pt idx="0">
                  <c:v>Моторика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olid"/>
              <a:round/>
            </a:ln>
          </c:spPr>
          <c:marker>
            <c:symbol val="none"/>
          </c:marker>
          <c:cat>
            <c:numRef>
              <c:f>ИНСТРУКЦИЯ!$A$13:$A$15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ИНСТРУКЦИЯ!$D$13:$D$15</c:f>
              <c:numCache>
                <c:formatCode>0.00%</c:formatCode>
                <c:ptCount val="3"/>
                <c:pt idx="0">
                  <c:v>0</c:v>
                </c:pt>
                <c:pt idx="1">
                  <c:v>0.46</c:v>
                </c:pt>
                <c:pt idx="2">
                  <c:v>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5A-4B65-A1BB-4A198A42F395}"/>
            </c:ext>
          </c:extLst>
        </c:ser>
        <c:ser>
          <c:idx val="3"/>
          <c:order val="3"/>
          <c:tx>
            <c:strRef>
              <c:f>ИНСТРУКЦИЯ!$E$12</c:f>
              <c:strCache>
                <c:ptCount val="1"/>
                <c:pt idx="0">
                  <c:v>Речь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solid"/>
              <a:round/>
            </a:ln>
          </c:spPr>
          <c:marker>
            <c:symbol val="none"/>
          </c:marker>
          <c:cat>
            <c:numRef>
              <c:f>ИНСТРУКЦИЯ!$A$13:$A$15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ИНСТРУКЦИЯ!$E$13:$E$15</c:f>
              <c:numCache>
                <c:formatCode>0.00%</c:formatCode>
                <c:ptCount val="3"/>
                <c:pt idx="0">
                  <c:v>0</c:v>
                </c:pt>
                <c:pt idx="1">
                  <c:v>0.44</c:v>
                </c:pt>
                <c:pt idx="2">
                  <c:v>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5A-4B65-A1BB-4A198A42F395}"/>
            </c:ext>
          </c:extLst>
        </c:ser>
        <c:ser>
          <c:idx val="4"/>
          <c:order val="4"/>
          <c:tx>
            <c:strRef>
              <c:f>ИНСТРУКЦИЯ!$F$12</c:f>
              <c:strCache>
                <c:ptCount val="1"/>
                <c:pt idx="0">
                  <c:v>Когнитив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olid"/>
              <a:round/>
            </a:ln>
          </c:spPr>
          <c:marker>
            <c:symbol val="none"/>
          </c:marker>
          <c:cat>
            <c:numRef>
              <c:f>ИНСТРУКЦИЯ!$A$13:$A$15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ИНСТРУКЦИЯ!$F$13:$F$15</c:f>
              <c:numCache>
                <c:formatCode>0.00%</c:formatCode>
                <c:ptCount val="3"/>
                <c:pt idx="0">
                  <c:v>0</c:v>
                </c:pt>
                <c:pt idx="1">
                  <c:v>0.4</c:v>
                </c:pt>
                <c:pt idx="2">
                  <c:v>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5A-4B65-A1BB-4A198A42F395}"/>
            </c:ext>
          </c:extLst>
        </c:ser>
        <c:ser>
          <c:idx val="5"/>
          <c:order val="5"/>
          <c:tx>
            <c:strRef>
              <c:f>ИНСТРУКЦИЯ!$G$12</c:f>
              <c:strCache>
                <c:ptCount val="1"/>
                <c:pt idx="0">
                  <c:v>Эмоции</c:v>
                </c:pt>
              </c:strCache>
            </c:strRef>
          </c:tx>
          <c:spPr>
            <a:ln w="28575" cap="rnd">
              <a:solidFill>
                <a:schemeClr val="accent6"/>
              </a:solidFill>
              <a:prstDash val="solid"/>
              <a:round/>
            </a:ln>
          </c:spPr>
          <c:marker>
            <c:symbol val="none"/>
          </c:marker>
          <c:cat>
            <c:numRef>
              <c:f>ИНСТРУКЦИЯ!$A$13:$A$15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ИНСТРУКЦИЯ!$G$13:$G$15</c:f>
              <c:numCache>
                <c:formatCode>0.00%</c:formatCode>
                <c:ptCount val="3"/>
                <c:pt idx="0">
                  <c:v>0</c:v>
                </c:pt>
                <c:pt idx="1">
                  <c:v>0.55000000000000004</c:v>
                </c:pt>
                <c:pt idx="2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5A-4B65-A1BB-4A198A42F395}"/>
            </c:ext>
          </c:extLst>
        </c:ser>
        <c:ser>
          <c:idx val="6"/>
          <c:order val="6"/>
          <c:tx>
            <c:strRef>
              <c:f>ИНСТРУКЦИЯ!$H$12</c:f>
              <c:strCache>
                <c:ptCount val="1"/>
                <c:pt idx="0">
                  <c:v>Социал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prstDash val="solid"/>
              <a:round/>
            </a:ln>
          </c:spPr>
          <c:marker>
            <c:symbol val="none"/>
          </c:marker>
          <c:cat>
            <c:numRef>
              <c:f>ИНСТРУКЦИЯ!$A$13:$A$15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ИНСТРУКЦИЯ!$H$13:$H$15</c:f>
              <c:numCache>
                <c:formatCode>0.00%</c:formatCode>
                <c:ptCount val="3"/>
                <c:pt idx="0">
                  <c:v>0</c:v>
                </c:pt>
                <c:pt idx="1">
                  <c:v>0.42</c:v>
                </c:pt>
                <c:pt idx="2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25A-4B65-A1BB-4A198A42F395}"/>
            </c:ext>
          </c:extLst>
        </c:ser>
        <c:ser>
          <c:idx val="7"/>
          <c:order val="7"/>
          <c:tx>
            <c:strRef>
              <c:f>ИНСТРУКЦИЯ!$I$12</c:f>
              <c:strCache>
                <c:ptCount val="1"/>
                <c:pt idx="0">
                  <c:v>самообслуживание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prstDash val="solid"/>
              <a:round/>
            </a:ln>
          </c:spPr>
          <c:marker>
            <c:symbol val="none"/>
          </c:marker>
          <c:cat>
            <c:numRef>
              <c:f>ИНСТРУКЦИЯ!$A$13:$A$15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ИНСТРУКЦИЯ!$I$13:$I$15</c:f>
              <c:numCache>
                <c:formatCode>0.00%</c:formatCode>
                <c:ptCount val="3"/>
                <c:pt idx="0">
                  <c:v>0</c:v>
                </c:pt>
                <c:pt idx="1">
                  <c:v>0.02</c:v>
                </c:pt>
                <c:pt idx="2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25A-4B65-A1BB-4A198A42F395}"/>
            </c:ext>
          </c:extLst>
        </c:ser>
        <c:ser>
          <c:idx val="8"/>
          <c:order val="8"/>
          <c:tx>
            <c:strRef>
              <c:f>ИНСТРУКЦИЯ!#REF!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prstDash val="solid"/>
              <a:round/>
            </a:ln>
          </c:spPr>
          <c:marker>
            <c:symbol val="none"/>
          </c:marker>
          <c:cat>
            <c:numRef>
              <c:f>ИНСТРУКЦИЯ!$A$13:$A$15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ИНСТРУКЦИЯ!#REF!</c:f>
              <c:numCache>
                <c:formatCode>General</c:formatCode>
                <c:ptCount val="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5A-4B65-A1BB-4A198A42F395}"/>
            </c:ext>
          </c:extLst>
        </c:ser>
        <c:ser>
          <c:idx val="9"/>
          <c:order val="9"/>
          <c:tx>
            <c:strRef>
              <c:f>ИНСТРУКЦИЯ!$J$12</c:f>
              <c:strCache>
                <c:ptCount val="1"/>
                <c:pt idx="0">
                  <c:v>Норма (90%)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</c:spPr>
          <c:marker>
            <c:symbol val="none"/>
          </c:marker>
          <c:cat>
            <c:numRef>
              <c:f>ИНСТРУКЦИЯ!$A$13:$A$15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ИНСТРУКЦИЯ!$J$13:$J$15</c:f>
              <c:numCache>
                <c:formatCode>General</c:formatCode>
                <c:ptCount val="3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25A-4B65-A1BB-4A198A42F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3149152"/>
        <c:axId val="363147904"/>
      </c:lineChart>
      <c:dateAx>
        <c:axId val="36314915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3147904"/>
        <c:crosses val="autoZero"/>
        <c:auto val="1"/>
        <c:lblOffset val="100"/>
        <c:baseTimeUnit val="days"/>
      </c:dateAx>
      <c:valAx>
        <c:axId val="363147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3149152"/>
        <c:crosses val="autoZero"/>
        <c:crossBetween val="between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hyperlink" Target="#'&#1055;&#1051;&#1040;&#1053; &#1088;&#1072;&#1079;&#1074;&#1080;&#1090;&#1080;&#1103;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11760</xdr:colOff>
      <xdr:row>7</xdr:row>
      <xdr:rowOff>646760</xdr:rowOff>
    </xdr:from>
    <xdr:to>
      <xdr:col>12</xdr:col>
      <xdr:colOff>347189</xdr:colOff>
      <xdr:row>18</xdr:row>
      <xdr:rowOff>187145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129351</xdr:colOff>
      <xdr:row>10</xdr:row>
      <xdr:rowOff>94073</xdr:rowOff>
    </xdr:from>
    <xdr:to>
      <xdr:col>4</xdr:col>
      <xdr:colOff>507962</xdr:colOff>
      <xdr:row>25</xdr:row>
      <xdr:rowOff>136911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70555</xdr:colOff>
      <xdr:row>30</xdr:row>
      <xdr:rowOff>94073</xdr:rowOff>
    </xdr:from>
    <xdr:to>
      <xdr:col>13</xdr:col>
      <xdr:colOff>32925</xdr:colOff>
      <xdr:row>35</xdr:row>
      <xdr:rowOff>273755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0</xdr:colOff>
      <xdr:row>31</xdr:row>
      <xdr:rowOff>54876</xdr:rowOff>
    </xdr:from>
    <xdr:to>
      <xdr:col>4</xdr:col>
      <xdr:colOff>2641914</xdr:colOff>
      <xdr:row>34</xdr:row>
      <xdr:rowOff>266543</xdr:rowOff>
    </xdr:to>
    <xdr:sp macro="" textlink="">
      <xdr:nvSpPr>
        <xdr:cNvPr id="5" name="Стрелка: вправо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EFAA8C-F7BE-49B6-9EE2-4EFC306B7429}"/>
            </a:ext>
          </a:extLst>
        </xdr:cNvPr>
        <xdr:cNvSpPr/>
      </xdr:nvSpPr>
      <xdr:spPr>
        <a:xfrm>
          <a:off x="3919753" y="8686172"/>
          <a:ext cx="2641914" cy="1560062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ru-RU" sz="1100" b="1">
            <a:solidFill>
              <a:sysClr val="windowText" lastClr="000000"/>
            </a:solidFill>
          </a:endParaRPr>
        </a:p>
        <a:p>
          <a:pPr algn="ctr"/>
          <a:r>
            <a:rPr lang="ru-RU" sz="1100" b="1">
              <a:solidFill>
                <a:sysClr val="windowText" lastClr="000000"/>
              </a:solidFill>
            </a:rPr>
            <a:t>ПЛАН</a:t>
          </a:r>
          <a:r>
            <a:rPr lang="ru-RU" sz="1100" b="1" baseline="0">
              <a:solidFill>
                <a:sysClr val="windowText" lastClr="000000"/>
              </a:solidFill>
            </a:rPr>
            <a:t> РАЗВИТИЯ</a:t>
          </a:r>
        </a:p>
        <a:p>
          <a:pPr algn="ctr"/>
          <a:r>
            <a:rPr lang="ru-RU" sz="1100" b="1" baseline="0">
              <a:solidFill>
                <a:sysClr val="windowText" lastClr="000000"/>
              </a:solidFill>
            </a:rPr>
            <a:t>(кликнуть)</a:t>
          </a:r>
          <a:endParaRPr lang="ru-RU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3</xdr:row>
      <xdr:rowOff>161925</xdr:rowOff>
    </xdr:from>
    <xdr:to>
      <xdr:col>7</xdr:col>
      <xdr:colOff>320730</xdr:colOff>
      <xdr:row>18</xdr:row>
      <xdr:rowOff>44505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19050</xdr:colOff>
      <xdr:row>19</xdr:row>
      <xdr:rowOff>180975</xdr:rowOff>
    </xdr:from>
    <xdr:to>
      <xdr:col>7</xdr:col>
      <xdr:colOff>81690</xdr:colOff>
      <xdr:row>34</xdr:row>
      <xdr:rowOff>188535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28575</xdr:colOff>
      <xdr:row>3</xdr:row>
      <xdr:rowOff>180975</xdr:rowOff>
    </xdr:from>
    <xdr:to>
      <xdr:col>15</xdr:col>
      <xdr:colOff>533400</xdr:colOff>
      <xdr:row>18</xdr:row>
      <xdr:rowOff>172509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B1:E24"/>
  <sheetViews>
    <sheetView showGridLines="0" topLeftCell="A19" zoomScaleNormal="100" workbookViewId="0">
      <selection activeCell="B8" sqref="B8:C8"/>
    </sheetView>
  </sheetViews>
  <sheetFormatPr defaultColWidth="8.7265625" defaultRowHeight="14.5"/>
  <cols>
    <col min="1" max="1" width="3" style="66" customWidth="1"/>
    <col min="2" max="2" width="5" style="66" customWidth="1"/>
    <col min="3" max="4" width="42" style="66" customWidth="1"/>
    <col min="5" max="5" width="3" style="66" customWidth="1"/>
    <col min="6" max="16384" width="8.7265625" style="66"/>
  </cols>
  <sheetData>
    <row r="1" spans="2:5" ht="7.5" customHeight="1">
      <c r="B1" s="85"/>
      <c r="C1" s="85"/>
      <c r="D1" s="85"/>
      <c r="E1" s="85"/>
    </row>
    <row r="2" spans="2:5" ht="7.5" customHeight="1">
      <c r="B2" s="85"/>
      <c r="C2" s="85"/>
      <c r="D2" s="85"/>
      <c r="E2" s="85"/>
    </row>
    <row r="3" spans="2:5" ht="60" customHeight="1">
      <c r="B3" s="86" t="s">
        <v>0</v>
      </c>
      <c r="C3" s="65"/>
      <c r="D3" s="65"/>
      <c r="E3" s="65"/>
    </row>
    <row r="4" spans="2:5" ht="30" customHeight="1">
      <c r="B4" s="87" t="s">
        <v>1</v>
      </c>
      <c r="C4" s="65"/>
      <c r="D4" s="65"/>
      <c r="E4" s="65"/>
    </row>
    <row r="5" spans="2:5" ht="9.75" customHeight="1">
      <c r="B5" s="88"/>
      <c r="C5" s="88"/>
      <c r="D5" s="88"/>
      <c r="E5" s="88"/>
    </row>
    <row r="6" spans="2:5" ht="15.75" customHeight="1"/>
    <row r="7" spans="2:5" ht="27.75" customHeight="1">
      <c r="B7" s="89" t="s">
        <v>2</v>
      </c>
      <c r="C7" s="65"/>
      <c r="D7" s="65"/>
      <c r="E7" s="65"/>
    </row>
    <row r="8" spans="2:5" ht="9.75" customHeight="1"/>
    <row r="9" spans="2:5" ht="30" customHeight="1">
      <c r="B9" s="90" t="s">
        <v>3</v>
      </c>
      <c r="C9" s="91" t="s">
        <v>4</v>
      </c>
      <c r="D9" s="92"/>
      <c r="E9" s="93"/>
    </row>
    <row r="10" spans="2:5" ht="78" customHeight="1">
      <c r="B10" s="94"/>
      <c r="C10" s="95" t="s">
        <v>5</v>
      </c>
      <c r="D10" s="96"/>
      <c r="E10" s="97"/>
    </row>
    <row r="11" spans="2:5" ht="7.5" customHeight="1">
      <c r="B11" s="98"/>
      <c r="E11" s="99"/>
    </row>
    <row r="12" spans="2:5" ht="30" customHeight="1">
      <c r="B12" s="90" t="s">
        <v>6</v>
      </c>
      <c r="C12" s="91" t="s">
        <v>7</v>
      </c>
      <c r="D12" s="92"/>
      <c r="E12" s="93"/>
    </row>
    <row r="13" spans="2:5" ht="100.5" customHeight="1">
      <c r="B13" s="94"/>
      <c r="C13" s="95" t="s">
        <v>8</v>
      </c>
      <c r="D13" s="96"/>
      <c r="E13" s="97"/>
    </row>
    <row r="14" spans="2:5" ht="18.75" customHeight="1">
      <c r="B14" s="98"/>
      <c r="E14" s="99"/>
    </row>
    <row r="15" spans="2:5" ht="30" customHeight="1">
      <c r="B15" s="90" t="s">
        <v>9</v>
      </c>
      <c r="C15" s="91" t="s">
        <v>10</v>
      </c>
      <c r="D15" s="92"/>
      <c r="E15" s="93"/>
    </row>
    <row r="16" spans="2:5" ht="71.25" customHeight="1">
      <c r="B16" s="94"/>
      <c r="C16" s="95" t="s">
        <v>11</v>
      </c>
      <c r="D16" s="96"/>
      <c r="E16" s="97"/>
    </row>
    <row r="17" spans="2:5" ht="12" customHeight="1"/>
    <row r="18" spans="2:5" ht="3.75" customHeight="1">
      <c r="B18" s="100"/>
      <c r="C18" s="100"/>
      <c r="D18" s="100"/>
      <c r="E18" s="100"/>
    </row>
    <row r="19" spans="2:5" ht="9.75" customHeight="1"/>
    <row r="20" spans="2:5" ht="25.5" customHeight="1">
      <c r="B20" s="101" t="s">
        <v>12</v>
      </c>
      <c r="C20" s="65"/>
      <c r="D20" s="65"/>
      <c r="E20" s="65"/>
    </row>
    <row r="21" spans="2:5" ht="89.25" customHeight="1">
      <c r="B21" s="102" t="s">
        <v>13</v>
      </c>
      <c r="C21" s="65"/>
      <c r="D21" s="103" t="s">
        <v>14</v>
      </c>
      <c r="E21" s="65"/>
    </row>
    <row r="22" spans="2:5" ht="9.75" customHeight="1"/>
    <row r="23" spans="2:5" ht="24" customHeight="1">
      <c r="B23" s="104" t="s">
        <v>15</v>
      </c>
      <c r="C23" s="65"/>
      <c r="D23" s="65"/>
      <c r="E23" s="65"/>
    </row>
    <row r="24" spans="2:5" ht="6" customHeight="1">
      <c r="B24" s="88"/>
      <c r="C24" s="88"/>
      <c r="D24" s="88"/>
      <c r="E24" s="88"/>
    </row>
  </sheetData>
  <mergeCells count="16">
    <mergeCell ref="B3:E3"/>
    <mergeCell ref="B20:E20"/>
    <mergeCell ref="C15:E15"/>
    <mergeCell ref="C12:E12"/>
    <mergeCell ref="B15:B16"/>
    <mergeCell ref="B4:E4"/>
    <mergeCell ref="C13:E13"/>
    <mergeCell ref="B12:B13"/>
    <mergeCell ref="C9:E9"/>
    <mergeCell ref="B7:E7"/>
    <mergeCell ref="C16:E16"/>
    <mergeCell ref="B9:B10"/>
    <mergeCell ref="B21:C21"/>
    <mergeCell ref="B23:E23"/>
    <mergeCell ref="C10:E10"/>
    <mergeCell ref="D21:E21"/>
  </mergeCells>
  <pageMargins left="0.75" right="0.75" top="1" bottom="1" header="0.511811023622047" footer="0.51180555555555596"/>
  <pageSetup paperSize="9" orientation="portrait" horizontalDpi="300" verticalDpi="300"/>
  <headerFooter>
    <oddFooter>&amp;C&amp;8 &amp;K888888© 2025 Rabiga Sagyndykova · LOLA System · Запрещена перепродажа и передача третьим лицам&amp;R&amp;8 Стр. &amp;P из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22"/>
  <sheetViews>
    <sheetView zoomScaleNormal="100" workbookViewId="0">
      <selection activeCell="R3" sqref="R3"/>
    </sheetView>
  </sheetViews>
  <sheetFormatPr defaultColWidth="8.7265625" defaultRowHeight="14.5"/>
  <sheetData>
    <row r="22" spans="2:2" ht="15" customHeight="1">
      <c r="B22" s="36"/>
    </row>
  </sheetData>
  <pageMargins left="0.75" right="0.75" top="1" bottom="1" header="0.511811023622047" footer="0.51180555555555596"/>
  <pageSetup paperSize="9" orientation="portrait" horizontalDpi="300" verticalDpi="300"/>
  <headerFooter>
    <oddFooter>&amp;C&amp;8 &amp;K888888© 2025 Rabiga Sagyndykova · LOLA System · Запрещена перепродажа и передача третьим лицам&amp;R&amp;8 Стр. &amp;P из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403152"/>
  </sheetPr>
  <dimension ref="A1:D166"/>
  <sheetViews>
    <sheetView zoomScaleNormal="100" workbookViewId="0">
      <selection activeCell="G7" sqref="G7"/>
    </sheetView>
  </sheetViews>
  <sheetFormatPr defaultColWidth="9.1796875" defaultRowHeight="13"/>
  <cols>
    <col min="1" max="2" width="9.1796875" style="37" customWidth="1"/>
    <col min="3" max="3" width="18.26953125" style="37" customWidth="1"/>
    <col min="4" max="4" width="9.1796875" style="37" customWidth="1"/>
    <col min="5" max="16384" width="9.1796875" style="37"/>
  </cols>
  <sheetData>
    <row r="1" spans="1:4" ht="12.75" customHeight="1">
      <c r="A1" s="166" t="s">
        <v>59</v>
      </c>
      <c r="B1" s="124" t="s">
        <v>249</v>
      </c>
      <c r="C1" s="124" t="s">
        <v>256</v>
      </c>
      <c r="D1" s="124" t="s">
        <v>257</v>
      </c>
    </row>
    <row r="2" spans="1:4" ht="12.75" customHeight="1">
      <c r="A2" s="166" t="s">
        <v>29</v>
      </c>
      <c r="B2" s="124" t="s">
        <v>351</v>
      </c>
      <c r="C2" s="124" t="s">
        <v>352</v>
      </c>
      <c r="D2" s="124" t="s">
        <v>353</v>
      </c>
    </row>
    <row r="3" spans="1:4" ht="12.75" customHeight="1">
      <c r="A3" s="166" t="s">
        <v>29</v>
      </c>
      <c r="B3" s="124" t="s">
        <v>351</v>
      </c>
      <c r="C3" s="124" t="s">
        <v>354</v>
      </c>
      <c r="D3" s="124" t="s">
        <v>355</v>
      </c>
    </row>
    <row r="4" spans="1:4" ht="12.75" customHeight="1">
      <c r="A4" s="166" t="s">
        <v>29</v>
      </c>
      <c r="B4" s="124" t="s">
        <v>351</v>
      </c>
      <c r="C4" s="124" t="s">
        <v>356</v>
      </c>
      <c r="D4" s="124" t="s">
        <v>357</v>
      </c>
    </row>
    <row r="5" spans="1:4" ht="12.75" customHeight="1">
      <c r="A5" s="166" t="s">
        <v>29</v>
      </c>
      <c r="B5" s="124" t="s">
        <v>351</v>
      </c>
      <c r="C5" s="124" t="s">
        <v>358</v>
      </c>
      <c r="D5" s="124" t="s">
        <v>359</v>
      </c>
    </row>
    <row r="6" spans="1:4" ht="12.75" customHeight="1">
      <c r="A6" s="166" t="s">
        <v>29</v>
      </c>
      <c r="B6" s="124" t="s">
        <v>351</v>
      </c>
      <c r="C6" s="124" t="s">
        <v>360</v>
      </c>
      <c r="D6" s="124" t="s">
        <v>361</v>
      </c>
    </row>
    <row r="7" spans="1:4" ht="12.75" customHeight="1">
      <c r="A7" s="166" t="s">
        <v>29</v>
      </c>
      <c r="B7" s="124" t="s">
        <v>351</v>
      </c>
      <c r="C7" s="124" t="s">
        <v>362</v>
      </c>
      <c r="D7" s="124" t="s">
        <v>363</v>
      </c>
    </row>
    <row r="8" spans="1:4" ht="12.75" customHeight="1">
      <c r="A8" s="166" t="s">
        <v>29</v>
      </c>
      <c r="B8" s="124" t="s">
        <v>351</v>
      </c>
      <c r="C8" s="124" t="s">
        <v>364</v>
      </c>
      <c r="D8" s="124" t="s">
        <v>365</v>
      </c>
    </row>
    <row r="9" spans="1:4" ht="12.75" customHeight="1">
      <c r="A9" s="166" t="s">
        <v>29</v>
      </c>
      <c r="B9" s="124" t="s">
        <v>351</v>
      </c>
      <c r="C9" s="124" t="s">
        <v>366</v>
      </c>
      <c r="D9" s="124" t="s">
        <v>367</v>
      </c>
    </row>
    <row r="10" spans="1:4" ht="12.75" customHeight="1">
      <c r="A10" s="166" t="s">
        <v>29</v>
      </c>
      <c r="B10" s="124" t="s">
        <v>351</v>
      </c>
      <c r="C10" s="124" t="s">
        <v>368</v>
      </c>
      <c r="D10" s="124" t="s">
        <v>369</v>
      </c>
    </row>
    <row r="11" spans="1:4" ht="12.75" customHeight="1">
      <c r="A11" s="166" t="s">
        <v>29</v>
      </c>
      <c r="B11" s="124" t="s">
        <v>351</v>
      </c>
      <c r="C11" s="124" t="s">
        <v>370</v>
      </c>
      <c r="D11" s="124" t="s">
        <v>371</v>
      </c>
    </row>
    <row r="12" spans="1:4" ht="12.75" customHeight="1">
      <c r="A12" s="166" t="s">
        <v>29</v>
      </c>
      <c r="B12" s="124" t="s">
        <v>372</v>
      </c>
      <c r="C12" s="124" t="s">
        <v>373</v>
      </c>
      <c r="D12" s="124" t="s">
        <v>374</v>
      </c>
    </row>
    <row r="13" spans="1:4" ht="12.75" customHeight="1">
      <c r="A13" s="166" t="s">
        <v>29</v>
      </c>
      <c r="B13" s="124" t="s">
        <v>372</v>
      </c>
      <c r="C13" s="124" t="s">
        <v>375</v>
      </c>
      <c r="D13" s="124" t="s">
        <v>376</v>
      </c>
    </row>
    <row r="14" spans="1:4" ht="12.75" customHeight="1">
      <c r="A14" s="166" t="s">
        <v>29</v>
      </c>
      <c r="B14" s="124" t="s">
        <v>372</v>
      </c>
      <c r="C14" s="124" t="s">
        <v>377</v>
      </c>
      <c r="D14" s="124" t="s">
        <v>367</v>
      </c>
    </row>
    <row r="15" spans="1:4" ht="12.75" customHeight="1">
      <c r="A15" s="166" t="s">
        <v>29</v>
      </c>
      <c r="B15" s="124" t="s">
        <v>372</v>
      </c>
      <c r="C15" s="124" t="s">
        <v>378</v>
      </c>
      <c r="D15" s="124" t="s">
        <v>379</v>
      </c>
    </row>
    <row r="16" spans="1:4" ht="12.75" customHeight="1">
      <c r="A16" s="166" t="s">
        <v>29</v>
      </c>
      <c r="B16" s="124" t="s">
        <v>372</v>
      </c>
      <c r="C16" s="124" t="s">
        <v>380</v>
      </c>
      <c r="D16" s="124" t="s">
        <v>381</v>
      </c>
    </row>
    <row r="17" spans="1:4" ht="12.75" customHeight="1">
      <c r="A17" s="166" t="s">
        <v>29</v>
      </c>
      <c r="B17" s="124" t="s">
        <v>372</v>
      </c>
      <c r="C17" s="124" t="s">
        <v>382</v>
      </c>
      <c r="D17" s="124" t="s">
        <v>383</v>
      </c>
    </row>
    <row r="18" spans="1:4" ht="12.75" customHeight="1">
      <c r="A18" s="166" t="s">
        <v>29</v>
      </c>
      <c r="B18" s="124" t="s">
        <v>372</v>
      </c>
      <c r="C18" s="124" t="s">
        <v>384</v>
      </c>
      <c r="D18" s="124" t="s">
        <v>385</v>
      </c>
    </row>
    <row r="19" spans="1:4" ht="12.75" customHeight="1">
      <c r="A19" s="166" t="s">
        <v>29</v>
      </c>
      <c r="B19" s="124" t="s">
        <v>372</v>
      </c>
      <c r="C19" s="124" t="s">
        <v>386</v>
      </c>
      <c r="D19" s="124" t="s">
        <v>371</v>
      </c>
    </row>
    <row r="20" spans="1:4" ht="12.75" customHeight="1">
      <c r="A20" s="166" t="s">
        <v>29</v>
      </c>
      <c r="B20" s="124" t="s">
        <v>372</v>
      </c>
      <c r="C20" s="124" t="s">
        <v>387</v>
      </c>
      <c r="D20" s="124" t="s">
        <v>388</v>
      </c>
    </row>
    <row r="21" spans="1:4" ht="12.75" customHeight="1">
      <c r="A21" s="166" t="s">
        <v>29</v>
      </c>
      <c r="B21" s="124" t="s">
        <v>372</v>
      </c>
      <c r="C21" s="124" t="s">
        <v>389</v>
      </c>
      <c r="D21" s="124" t="s">
        <v>390</v>
      </c>
    </row>
    <row r="22" spans="1:4" ht="12.75" customHeight="1">
      <c r="A22" s="166" t="s">
        <v>29</v>
      </c>
      <c r="B22" s="124" t="s">
        <v>391</v>
      </c>
      <c r="C22" s="124" t="s">
        <v>392</v>
      </c>
      <c r="D22" s="124" t="s">
        <v>393</v>
      </c>
    </row>
    <row r="23" spans="1:4" ht="12.75" customHeight="1">
      <c r="A23" s="166" t="s">
        <v>29</v>
      </c>
      <c r="B23" s="124" t="s">
        <v>391</v>
      </c>
      <c r="C23" s="124" t="s">
        <v>394</v>
      </c>
      <c r="D23" s="124" t="s">
        <v>395</v>
      </c>
    </row>
    <row r="24" spans="1:4" ht="12.75" customHeight="1">
      <c r="A24" s="166" t="s">
        <v>29</v>
      </c>
      <c r="B24" s="124" t="s">
        <v>391</v>
      </c>
      <c r="C24" s="124" t="s">
        <v>396</v>
      </c>
      <c r="D24" s="124" t="s">
        <v>397</v>
      </c>
    </row>
    <row r="25" spans="1:4" ht="12.75" customHeight="1">
      <c r="A25" s="166" t="s">
        <v>29</v>
      </c>
      <c r="B25" s="124" t="s">
        <v>391</v>
      </c>
      <c r="C25" s="124" t="s">
        <v>398</v>
      </c>
      <c r="D25" s="124" t="s">
        <v>399</v>
      </c>
    </row>
    <row r="26" spans="1:4" ht="12.75" customHeight="1">
      <c r="A26" s="166" t="s">
        <v>29</v>
      </c>
      <c r="B26" s="124" t="s">
        <v>391</v>
      </c>
      <c r="C26" s="124" t="s">
        <v>400</v>
      </c>
      <c r="D26" s="124" t="s">
        <v>401</v>
      </c>
    </row>
    <row r="27" spans="1:4" ht="12.75" customHeight="1">
      <c r="A27" s="166" t="s">
        <v>29</v>
      </c>
      <c r="B27" s="124" t="s">
        <v>391</v>
      </c>
      <c r="C27" s="124" t="s">
        <v>402</v>
      </c>
      <c r="D27" s="124" t="s">
        <v>403</v>
      </c>
    </row>
    <row r="28" spans="1:4" ht="12.75" customHeight="1">
      <c r="A28" s="166" t="s">
        <v>29</v>
      </c>
      <c r="B28" s="124" t="s">
        <v>391</v>
      </c>
      <c r="C28" s="124" t="s">
        <v>404</v>
      </c>
      <c r="D28" s="124" t="s">
        <v>405</v>
      </c>
    </row>
    <row r="29" spans="1:4" ht="12.75" customHeight="1">
      <c r="A29" s="166" t="s">
        <v>29</v>
      </c>
      <c r="B29" s="124" t="s">
        <v>391</v>
      </c>
      <c r="C29" s="124" t="s">
        <v>406</v>
      </c>
      <c r="D29" s="124" t="s">
        <v>407</v>
      </c>
    </row>
    <row r="30" spans="1:4" ht="12.75" customHeight="1">
      <c r="A30" s="166" t="s">
        <v>29</v>
      </c>
      <c r="B30" s="124" t="s">
        <v>391</v>
      </c>
      <c r="C30" s="124" t="s">
        <v>408</v>
      </c>
      <c r="D30" s="124" t="s">
        <v>409</v>
      </c>
    </row>
    <row r="31" spans="1:4" ht="12.75" customHeight="1">
      <c r="A31" s="166" t="s">
        <v>29</v>
      </c>
      <c r="B31" s="124" t="s">
        <v>391</v>
      </c>
      <c r="C31" s="124" t="s">
        <v>410</v>
      </c>
      <c r="D31" s="124" t="s">
        <v>411</v>
      </c>
    </row>
    <row r="32" spans="1:4" ht="25.5" customHeight="1">
      <c r="A32" s="166" t="s">
        <v>106</v>
      </c>
      <c r="B32" s="124" t="s">
        <v>351</v>
      </c>
      <c r="C32" s="124" t="s">
        <v>412</v>
      </c>
      <c r="D32" s="124" t="s">
        <v>413</v>
      </c>
    </row>
    <row r="33" spans="1:4" ht="25.5" customHeight="1">
      <c r="A33" s="166" t="s">
        <v>106</v>
      </c>
      <c r="B33" s="124" t="s">
        <v>351</v>
      </c>
      <c r="C33" s="124" t="s">
        <v>414</v>
      </c>
      <c r="D33" s="124" t="s">
        <v>415</v>
      </c>
    </row>
    <row r="34" spans="1:4" ht="25.5" customHeight="1">
      <c r="A34" s="166" t="s">
        <v>106</v>
      </c>
      <c r="B34" s="124" t="s">
        <v>351</v>
      </c>
      <c r="C34" s="124" t="s">
        <v>416</v>
      </c>
      <c r="D34" s="124" t="s">
        <v>417</v>
      </c>
    </row>
    <row r="35" spans="1:4" ht="25.5" customHeight="1">
      <c r="A35" s="166" t="s">
        <v>106</v>
      </c>
      <c r="B35" s="124" t="s">
        <v>351</v>
      </c>
      <c r="C35" s="124" t="s">
        <v>418</v>
      </c>
      <c r="D35" s="124" t="s">
        <v>419</v>
      </c>
    </row>
    <row r="36" spans="1:4" ht="25.5" customHeight="1">
      <c r="A36" s="166" t="s">
        <v>106</v>
      </c>
      <c r="B36" s="124" t="s">
        <v>351</v>
      </c>
      <c r="C36" s="124" t="s">
        <v>420</v>
      </c>
      <c r="D36" s="124" t="s">
        <v>421</v>
      </c>
    </row>
    <row r="37" spans="1:4" ht="25.5" customHeight="1">
      <c r="A37" s="166" t="s">
        <v>106</v>
      </c>
      <c r="B37" s="124" t="s">
        <v>351</v>
      </c>
      <c r="C37" s="124" t="s">
        <v>422</v>
      </c>
      <c r="D37" s="124" t="s">
        <v>421</v>
      </c>
    </row>
    <row r="38" spans="1:4" ht="25.5" customHeight="1">
      <c r="A38" s="166" t="s">
        <v>106</v>
      </c>
      <c r="B38" s="124" t="s">
        <v>351</v>
      </c>
      <c r="C38" s="124" t="s">
        <v>423</v>
      </c>
      <c r="D38" s="124" t="s">
        <v>424</v>
      </c>
    </row>
    <row r="39" spans="1:4" ht="25.5" customHeight="1">
      <c r="A39" s="166" t="s">
        <v>106</v>
      </c>
      <c r="B39" s="124" t="s">
        <v>351</v>
      </c>
      <c r="C39" s="124" t="s">
        <v>425</v>
      </c>
      <c r="D39" s="124" t="s">
        <v>426</v>
      </c>
    </row>
    <row r="40" spans="1:4" ht="25.5" customHeight="1">
      <c r="A40" s="166" t="s">
        <v>106</v>
      </c>
      <c r="B40" s="124" t="s">
        <v>351</v>
      </c>
      <c r="C40" s="124" t="s">
        <v>427</v>
      </c>
      <c r="D40" s="124" t="s">
        <v>428</v>
      </c>
    </row>
    <row r="41" spans="1:4" ht="25.5" customHeight="1">
      <c r="A41" s="166" t="s">
        <v>106</v>
      </c>
      <c r="B41" s="124" t="s">
        <v>351</v>
      </c>
      <c r="C41" s="124" t="s">
        <v>429</v>
      </c>
      <c r="D41" s="124" t="s">
        <v>430</v>
      </c>
    </row>
    <row r="42" spans="1:4" ht="25.5" customHeight="1">
      <c r="A42" s="166" t="s">
        <v>106</v>
      </c>
      <c r="B42" s="124" t="s">
        <v>372</v>
      </c>
      <c r="C42" s="124" t="s">
        <v>431</v>
      </c>
      <c r="D42" s="124" t="s">
        <v>432</v>
      </c>
    </row>
    <row r="43" spans="1:4" ht="25.5" customHeight="1">
      <c r="A43" s="166" t="s">
        <v>106</v>
      </c>
      <c r="B43" s="124" t="s">
        <v>372</v>
      </c>
      <c r="C43" s="124" t="s">
        <v>433</v>
      </c>
      <c r="D43" s="124" t="s">
        <v>434</v>
      </c>
    </row>
    <row r="44" spans="1:4" ht="25.5" customHeight="1">
      <c r="A44" s="166" t="s">
        <v>106</v>
      </c>
      <c r="B44" s="124" t="s">
        <v>372</v>
      </c>
      <c r="C44" s="124" t="s">
        <v>435</v>
      </c>
      <c r="D44" s="124" t="s">
        <v>436</v>
      </c>
    </row>
    <row r="45" spans="1:4" ht="25.5" customHeight="1">
      <c r="A45" s="166" t="s">
        <v>106</v>
      </c>
      <c r="B45" s="124" t="s">
        <v>372</v>
      </c>
      <c r="C45" s="124" t="s">
        <v>437</v>
      </c>
      <c r="D45" s="124" t="s">
        <v>438</v>
      </c>
    </row>
    <row r="46" spans="1:4" ht="25.5" customHeight="1">
      <c r="A46" s="166" t="s">
        <v>106</v>
      </c>
      <c r="B46" s="124" t="s">
        <v>372</v>
      </c>
      <c r="C46" s="124" t="s">
        <v>439</v>
      </c>
      <c r="D46" s="124" t="s">
        <v>440</v>
      </c>
    </row>
    <row r="47" spans="1:4" ht="25.5" customHeight="1">
      <c r="A47" s="166" t="s">
        <v>106</v>
      </c>
      <c r="B47" s="124" t="s">
        <v>372</v>
      </c>
      <c r="C47" s="124" t="s">
        <v>441</v>
      </c>
      <c r="D47" s="124" t="s">
        <v>442</v>
      </c>
    </row>
    <row r="48" spans="1:4" ht="25.5" customHeight="1">
      <c r="A48" s="166" t="s">
        <v>106</v>
      </c>
      <c r="B48" s="124" t="s">
        <v>372</v>
      </c>
      <c r="C48" s="124" t="s">
        <v>443</v>
      </c>
      <c r="D48" s="124" t="s">
        <v>440</v>
      </c>
    </row>
    <row r="49" spans="1:4" ht="25.5" customHeight="1">
      <c r="A49" s="166" t="s">
        <v>106</v>
      </c>
      <c r="B49" s="124" t="s">
        <v>372</v>
      </c>
      <c r="C49" s="124" t="s">
        <v>444</v>
      </c>
      <c r="D49" s="124" t="s">
        <v>445</v>
      </c>
    </row>
    <row r="50" spans="1:4" ht="25.5" customHeight="1">
      <c r="A50" s="166" t="s">
        <v>106</v>
      </c>
      <c r="B50" s="124" t="s">
        <v>372</v>
      </c>
      <c r="C50" s="124" t="s">
        <v>446</v>
      </c>
      <c r="D50" s="124" t="s">
        <v>447</v>
      </c>
    </row>
    <row r="51" spans="1:4" ht="25.5" customHeight="1">
      <c r="A51" s="166" t="s">
        <v>106</v>
      </c>
      <c r="B51" s="124" t="s">
        <v>372</v>
      </c>
      <c r="C51" s="124" t="s">
        <v>448</v>
      </c>
      <c r="D51" s="124" t="s">
        <v>449</v>
      </c>
    </row>
    <row r="52" spans="1:4" ht="25.5" customHeight="1">
      <c r="A52" s="166" t="s">
        <v>106</v>
      </c>
      <c r="B52" s="124" t="s">
        <v>391</v>
      </c>
      <c r="C52" s="124" t="s">
        <v>450</v>
      </c>
      <c r="D52" s="124" t="s">
        <v>451</v>
      </c>
    </row>
    <row r="53" spans="1:4" ht="25.5" customHeight="1">
      <c r="A53" s="166" t="s">
        <v>106</v>
      </c>
      <c r="B53" s="124" t="s">
        <v>391</v>
      </c>
      <c r="C53" s="124" t="s">
        <v>452</v>
      </c>
      <c r="D53" s="124" t="s">
        <v>453</v>
      </c>
    </row>
    <row r="54" spans="1:4" ht="25.5" customHeight="1">
      <c r="A54" s="166" t="s">
        <v>106</v>
      </c>
      <c r="B54" s="124" t="s">
        <v>391</v>
      </c>
      <c r="C54" s="124" t="s">
        <v>454</v>
      </c>
      <c r="D54" s="124" t="s">
        <v>455</v>
      </c>
    </row>
    <row r="55" spans="1:4" ht="25.5" customHeight="1">
      <c r="A55" s="166" t="s">
        <v>106</v>
      </c>
      <c r="B55" s="124" t="s">
        <v>391</v>
      </c>
      <c r="C55" s="124" t="s">
        <v>456</v>
      </c>
      <c r="D55" s="124" t="s">
        <v>457</v>
      </c>
    </row>
    <row r="56" spans="1:4" ht="25.5" customHeight="1">
      <c r="A56" s="166" t="s">
        <v>106</v>
      </c>
      <c r="B56" s="124" t="s">
        <v>391</v>
      </c>
      <c r="C56" s="124" t="s">
        <v>458</v>
      </c>
      <c r="D56" s="124" t="s">
        <v>459</v>
      </c>
    </row>
    <row r="57" spans="1:4" ht="25.5" customHeight="1">
      <c r="A57" s="166" t="s">
        <v>106</v>
      </c>
      <c r="B57" s="124" t="s">
        <v>391</v>
      </c>
      <c r="C57" s="124" t="s">
        <v>460</v>
      </c>
      <c r="D57" s="124" t="s">
        <v>401</v>
      </c>
    </row>
    <row r="58" spans="1:4" ht="25.5" customHeight="1">
      <c r="A58" s="166" t="s">
        <v>106</v>
      </c>
      <c r="B58" s="124" t="s">
        <v>391</v>
      </c>
      <c r="C58" s="124" t="s">
        <v>461</v>
      </c>
      <c r="D58" s="124" t="s">
        <v>462</v>
      </c>
    </row>
    <row r="59" spans="1:4" ht="25.5" customHeight="1">
      <c r="A59" s="166" t="s">
        <v>106</v>
      </c>
      <c r="B59" s="124" t="s">
        <v>391</v>
      </c>
      <c r="C59" s="124" t="s">
        <v>119</v>
      </c>
      <c r="D59" s="124" t="s">
        <v>463</v>
      </c>
    </row>
    <row r="60" spans="1:4" ht="25.5" customHeight="1">
      <c r="A60" s="166" t="s">
        <v>106</v>
      </c>
      <c r="B60" s="124" t="s">
        <v>391</v>
      </c>
      <c r="C60" s="124" t="s">
        <v>464</v>
      </c>
      <c r="D60" s="124" t="s">
        <v>465</v>
      </c>
    </row>
    <row r="61" spans="1:4" ht="25.5" customHeight="1">
      <c r="A61" s="166" t="s">
        <v>106</v>
      </c>
      <c r="B61" s="124" t="s">
        <v>391</v>
      </c>
      <c r="C61" s="124" t="s">
        <v>466</v>
      </c>
      <c r="D61" s="124" t="s">
        <v>467</v>
      </c>
    </row>
    <row r="62" spans="1:4" ht="12.75" customHeight="1">
      <c r="A62" s="166" t="s">
        <v>31</v>
      </c>
      <c r="B62" s="124" t="s">
        <v>351</v>
      </c>
      <c r="C62" s="124" t="s">
        <v>468</v>
      </c>
      <c r="D62" s="124" t="s">
        <v>469</v>
      </c>
    </row>
    <row r="63" spans="1:4" ht="12.75" customHeight="1">
      <c r="A63" s="166" t="s">
        <v>31</v>
      </c>
      <c r="B63" s="124" t="s">
        <v>351</v>
      </c>
      <c r="C63" s="124" t="s">
        <v>470</v>
      </c>
      <c r="D63" s="124" t="s">
        <v>471</v>
      </c>
    </row>
    <row r="64" spans="1:4" ht="12.75" customHeight="1">
      <c r="A64" s="166" t="s">
        <v>31</v>
      </c>
      <c r="B64" s="124" t="s">
        <v>351</v>
      </c>
      <c r="C64" s="124" t="s">
        <v>472</v>
      </c>
      <c r="D64" s="124" t="s">
        <v>473</v>
      </c>
    </row>
    <row r="65" spans="1:4" ht="12.75" customHeight="1">
      <c r="A65" s="166" t="s">
        <v>31</v>
      </c>
      <c r="B65" s="124" t="s">
        <v>351</v>
      </c>
      <c r="C65" s="124" t="s">
        <v>474</v>
      </c>
      <c r="D65" s="124" t="s">
        <v>475</v>
      </c>
    </row>
    <row r="66" spans="1:4" ht="12.75" customHeight="1">
      <c r="A66" s="166" t="s">
        <v>31</v>
      </c>
      <c r="B66" s="124" t="s">
        <v>351</v>
      </c>
      <c r="C66" s="124" t="s">
        <v>476</v>
      </c>
      <c r="D66" s="124" t="s">
        <v>477</v>
      </c>
    </row>
    <row r="67" spans="1:4" ht="12.75" customHeight="1">
      <c r="A67" s="166" t="s">
        <v>31</v>
      </c>
      <c r="B67" s="124" t="s">
        <v>351</v>
      </c>
      <c r="C67" s="124" t="s">
        <v>478</v>
      </c>
      <c r="D67" s="124" t="s">
        <v>479</v>
      </c>
    </row>
    <row r="68" spans="1:4" ht="12.75" customHeight="1">
      <c r="A68" s="166" t="s">
        <v>31</v>
      </c>
      <c r="B68" s="124" t="s">
        <v>351</v>
      </c>
      <c r="C68" s="124" t="s">
        <v>480</v>
      </c>
      <c r="D68" s="124" t="s">
        <v>481</v>
      </c>
    </row>
    <row r="69" spans="1:4" ht="12.75" customHeight="1">
      <c r="A69" s="166" t="s">
        <v>31</v>
      </c>
      <c r="B69" s="124" t="s">
        <v>351</v>
      </c>
      <c r="C69" s="124" t="s">
        <v>482</v>
      </c>
      <c r="D69" s="124" t="s">
        <v>483</v>
      </c>
    </row>
    <row r="70" spans="1:4" ht="12.75" customHeight="1">
      <c r="A70" s="166" t="s">
        <v>31</v>
      </c>
      <c r="B70" s="124" t="s">
        <v>351</v>
      </c>
      <c r="C70" s="124" t="s">
        <v>484</v>
      </c>
      <c r="D70" s="124" t="s">
        <v>485</v>
      </c>
    </row>
    <row r="71" spans="1:4" ht="12.75" customHeight="1">
      <c r="A71" s="166" t="s">
        <v>31</v>
      </c>
      <c r="B71" s="124" t="s">
        <v>351</v>
      </c>
      <c r="C71" s="124" t="s">
        <v>486</v>
      </c>
      <c r="D71" s="124" t="s">
        <v>487</v>
      </c>
    </row>
    <row r="72" spans="1:4" ht="12.75" customHeight="1">
      <c r="A72" s="166" t="s">
        <v>31</v>
      </c>
      <c r="B72" s="124" t="s">
        <v>372</v>
      </c>
      <c r="C72" s="124" t="s">
        <v>488</v>
      </c>
      <c r="D72" s="124" t="s">
        <v>489</v>
      </c>
    </row>
    <row r="73" spans="1:4" ht="12.75" customHeight="1">
      <c r="A73" s="166" t="s">
        <v>31</v>
      </c>
      <c r="B73" s="124" t="s">
        <v>372</v>
      </c>
      <c r="C73" s="124" t="s">
        <v>490</v>
      </c>
      <c r="D73" s="124" t="s">
        <v>491</v>
      </c>
    </row>
    <row r="74" spans="1:4" ht="12.75" customHeight="1">
      <c r="A74" s="166" t="s">
        <v>31</v>
      </c>
      <c r="B74" s="124" t="s">
        <v>372</v>
      </c>
      <c r="C74" s="124" t="s">
        <v>492</v>
      </c>
      <c r="D74" s="124" t="s">
        <v>493</v>
      </c>
    </row>
    <row r="75" spans="1:4" ht="12.75" customHeight="1">
      <c r="A75" s="166" t="s">
        <v>31</v>
      </c>
      <c r="B75" s="124" t="s">
        <v>372</v>
      </c>
      <c r="C75" s="124" t="s">
        <v>494</v>
      </c>
      <c r="D75" s="124" t="s">
        <v>495</v>
      </c>
    </row>
    <row r="76" spans="1:4" ht="12.75" customHeight="1">
      <c r="A76" s="166" t="s">
        <v>31</v>
      </c>
      <c r="B76" s="124" t="s">
        <v>372</v>
      </c>
      <c r="C76" s="124" t="s">
        <v>496</v>
      </c>
      <c r="D76" s="124" t="s">
        <v>497</v>
      </c>
    </row>
    <row r="77" spans="1:4" ht="12.75" customHeight="1">
      <c r="A77" s="166" t="s">
        <v>31</v>
      </c>
      <c r="B77" s="124" t="s">
        <v>372</v>
      </c>
      <c r="C77" s="124" t="s">
        <v>498</v>
      </c>
      <c r="D77" s="124" t="s">
        <v>438</v>
      </c>
    </row>
    <row r="78" spans="1:4" ht="12.75" customHeight="1">
      <c r="A78" s="166" t="s">
        <v>31</v>
      </c>
      <c r="B78" s="124" t="s">
        <v>372</v>
      </c>
      <c r="C78" s="124" t="s">
        <v>499</v>
      </c>
      <c r="D78" s="124" t="s">
        <v>500</v>
      </c>
    </row>
    <row r="79" spans="1:4" ht="12.75" customHeight="1">
      <c r="A79" s="166" t="s">
        <v>31</v>
      </c>
      <c r="B79" s="124" t="s">
        <v>372</v>
      </c>
      <c r="C79" s="124" t="s">
        <v>501</v>
      </c>
      <c r="D79" s="124" t="s">
        <v>497</v>
      </c>
    </row>
    <row r="80" spans="1:4" ht="12.75" customHeight="1">
      <c r="A80" s="166" t="s">
        <v>31</v>
      </c>
      <c r="B80" s="124" t="s">
        <v>372</v>
      </c>
      <c r="C80" s="124" t="s">
        <v>502</v>
      </c>
      <c r="D80" s="124" t="s">
        <v>503</v>
      </c>
    </row>
    <row r="81" spans="1:4" ht="12.75" customHeight="1">
      <c r="A81" s="166" t="s">
        <v>31</v>
      </c>
      <c r="B81" s="124" t="s">
        <v>372</v>
      </c>
      <c r="C81" s="124" t="s">
        <v>504</v>
      </c>
      <c r="D81" s="124" t="s">
        <v>505</v>
      </c>
    </row>
    <row r="82" spans="1:4" ht="12.75" customHeight="1">
      <c r="A82" s="166" t="s">
        <v>31</v>
      </c>
      <c r="B82" s="124" t="s">
        <v>391</v>
      </c>
      <c r="C82" s="124" t="s">
        <v>506</v>
      </c>
      <c r="D82" s="124" t="s">
        <v>507</v>
      </c>
    </row>
    <row r="83" spans="1:4" ht="12.75" customHeight="1">
      <c r="A83" s="166" t="s">
        <v>31</v>
      </c>
      <c r="B83" s="124" t="s">
        <v>391</v>
      </c>
      <c r="C83" s="124" t="s">
        <v>508</v>
      </c>
      <c r="D83" s="124" t="s">
        <v>503</v>
      </c>
    </row>
    <row r="84" spans="1:4" ht="12.75" customHeight="1">
      <c r="A84" s="166" t="s">
        <v>31</v>
      </c>
      <c r="B84" s="124" t="s">
        <v>391</v>
      </c>
      <c r="C84" s="124" t="s">
        <v>509</v>
      </c>
      <c r="D84" s="124" t="s">
        <v>510</v>
      </c>
    </row>
    <row r="85" spans="1:4" ht="12.75" customHeight="1">
      <c r="A85" s="166" t="s">
        <v>31</v>
      </c>
      <c r="B85" s="124" t="s">
        <v>391</v>
      </c>
      <c r="C85" s="124" t="s">
        <v>511</v>
      </c>
      <c r="D85" s="124" t="s">
        <v>505</v>
      </c>
    </row>
    <row r="86" spans="1:4" ht="12.75" customHeight="1">
      <c r="A86" s="166" t="s">
        <v>31</v>
      </c>
      <c r="B86" s="124" t="s">
        <v>391</v>
      </c>
      <c r="C86" s="124" t="s">
        <v>512</v>
      </c>
      <c r="D86" s="124" t="s">
        <v>513</v>
      </c>
    </row>
    <row r="87" spans="1:4" ht="12.75" customHeight="1">
      <c r="A87" s="166" t="s">
        <v>31</v>
      </c>
      <c r="B87" s="124" t="s">
        <v>391</v>
      </c>
      <c r="C87" s="124" t="s">
        <v>514</v>
      </c>
      <c r="D87" s="124" t="s">
        <v>515</v>
      </c>
    </row>
    <row r="88" spans="1:4" ht="12.75" customHeight="1">
      <c r="A88" s="166" t="s">
        <v>31</v>
      </c>
      <c r="B88" s="124" t="s">
        <v>391</v>
      </c>
      <c r="C88" s="124" t="s">
        <v>516</v>
      </c>
      <c r="D88" s="124" t="s">
        <v>517</v>
      </c>
    </row>
    <row r="89" spans="1:4" ht="12.75" customHeight="1">
      <c r="A89" s="166" t="s">
        <v>31</v>
      </c>
      <c r="B89" s="124" t="s">
        <v>391</v>
      </c>
      <c r="C89" s="124" t="s">
        <v>518</v>
      </c>
      <c r="D89" s="124" t="s">
        <v>519</v>
      </c>
    </row>
    <row r="90" spans="1:4" ht="12.75" customHeight="1">
      <c r="A90" s="166" t="s">
        <v>31</v>
      </c>
      <c r="B90" s="124" t="s">
        <v>391</v>
      </c>
      <c r="C90" s="124" t="s">
        <v>520</v>
      </c>
      <c r="D90" s="124" t="s">
        <v>521</v>
      </c>
    </row>
    <row r="91" spans="1:4" ht="12.75" customHeight="1">
      <c r="A91" s="166" t="s">
        <v>31</v>
      </c>
      <c r="B91" s="124" t="s">
        <v>391</v>
      </c>
      <c r="C91" s="124" t="s">
        <v>522</v>
      </c>
      <c r="D91" s="124" t="s">
        <v>523</v>
      </c>
    </row>
    <row r="92" spans="1:4" ht="12.75" customHeight="1">
      <c r="A92" s="166" t="s">
        <v>32</v>
      </c>
      <c r="B92" s="124" t="s">
        <v>351</v>
      </c>
      <c r="C92" s="124" t="s">
        <v>524</v>
      </c>
      <c r="D92" s="124" t="s">
        <v>525</v>
      </c>
    </row>
    <row r="93" spans="1:4" ht="12.75" customHeight="1">
      <c r="A93" s="166" t="s">
        <v>32</v>
      </c>
      <c r="B93" s="124" t="s">
        <v>351</v>
      </c>
      <c r="C93" s="124" t="s">
        <v>526</v>
      </c>
      <c r="D93" s="124" t="s">
        <v>527</v>
      </c>
    </row>
    <row r="94" spans="1:4" ht="12.75" customHeight="1">
      <c r="A94" s="166" t="s">
        <v>32</v>
      </c>
      <c r="B94" s="124" t="s">
        <v>351</v>
      </c>
      <c r="C94" s="124" t="s">
        <v>528</v>
      </c>
      <c r="D94" s="124" t="s">
        <v>529</v>
      </c>
    </row>
    <row r="95" spans="1:4" ht="12.75" customHeight="1">
      <c r="A95" s="166" t="s">
        <v>32</v>
      </c>
      <c r="B95" s="124" t="s">
        <v>351</v>
      </c>
      <c r="C95" s="124" t="s">
        <v>530</v>
      </c>
      <c r="D95" s="124" t="s">
        <v>531</v>
      </c>
    </row>
    <row r="96" spans="1:4" ht="12.75" customHeight="1">
      <c r="A96" s="166" t="s">
        <v>32</v>
      </c>
      <c r="B96" s="124" t="s">
        <v>351</v>
      </c>
      <c r="C96" s="124" t="s">
        <v>532</v>
      </c>
      <c r="D96" s="124" t="s">
        <v>69</v>
      </c>
    </row>
    <row r="97" spans="1:4" ht="12.75" customHeight="1">
      <c r="A97" s="166" t="s">
        <v>32</v>
      </c>
      <c r="B97" s="124" t="s">
        <v>351</v>
      </c>
      <c r="C97" s="124" t="s">
        <v>533</v>
      </c>
      <c r="D97" s="124" t="s">
        <v>534</v>
      </c>
    </row>
    <row r="98" spans="1:4" ht="12.75" customHeight="1">
      <c r="A98" s="166" t="s">
        <v>32</v>
      </c>
      <c r="B98" s="124" t="s">
        <v>351</v>
      </c>
      <c r="C98" s="124" t="s">
        <v>535</v>
      </c>
      <c r="D98" s="124" t="s">
        <v>536</v>
      </c>
    </row>
    <row r="99" spans="1:4" ht="12.75" customHeight="1">
      <c r="A99" s="166" t="s">
        <v>32</v>
      </c>
      <c r="B99" s="124" t="s">
        <v>351</v>
      </c>
      <c r="C99" s="124" t="s">
        <v>537</v>
      </c>
      <c r="D99" s="124" t="s">
        <v>538</v>
      </c>
    </row>
    <row r="100" spans="1:4" ht="12.75" customHeight="1">
      <c r="A100" s="166" t="s">
        <v>32</v>
      </c>
      <c r="B100" s="124" t="s">
        <v>351</v>
      </c>
      <c r="C100" s="124" t="s">
        <v>539</v>
      </c>
      <c r="D100" s="124" t="s">
        <v>540</v>
      </c>
    </row>
    <row r="101" spans="1:4" ht="12.75" customHeight="1">
      <c r="A101" s="166" t="s">
        <v>32</v>
      </c>
      <c r="B101" s="124" t="s">
        <v>351</v>
      </c>
      <c r="C101" s="124" t="s">
        <v>541</v>
      </c>
      <c r="D101" s="124" t="s">
        <v>515</v>
      </c>
    </row>
    <row r="102" spans="1:4" ht="12.75" customHeight="1">
      <c r="A102" s="166" t="s">
        <v>32</v>
      </c>
      <c r="B102" s="124" t="s">
        <v>372</v>
      </c>
      <c r="C102" s="124" t="s">
        <v>542</v>
      </c>
      <c r="D102" s="124" t="s">
        <v>543</v>
      </c>
    </row>
    <row r="103" spans="1:4" ht="12.75" customHeight="1">
      <c r="A103" s="166" t="s">
        <v>32</v>
      </c>
      <c r="B103" s="124" t="s">
        <v>372</v>
      </c>
      <c r="C103" s="124" t="s">
        <v>544</v>
      </c>
      <c r="D103" s="124" t="s">
        <v>545</v>
      </c>
    </row>
    <row r="104" spans="1:4" ht="12.75" customHeight="1">
      <c r="A104" s="166" t="s">
        <v>32</v>
      </c>
      <c r="B104" s="124" t="s">
        <v>372</v>
      </c>
      <c r="C104" s="124" t="s">
        <v>546</v>
      </c>
      <c r="D104" s="124" t="s">
        <v>547</v>
      </c>
    </row>
    <row r="105" spans="1:4" ht="12.75" customHeight="1">
      <c r="A105" s="166" t="s">
        <v>32</v>
      </c>
      <c r="B105" s="124" t="s">
        <v>372</v>
      </c>
      <c r="C105" s="124" t="s">
        <v>548</v>
      </c>
      <c r="D105" s="124" t="s">
        <v>549</v>
      </c>
    </row>
    <row r="106" spans="1:4" ht="12.75" customHeight="1">
      <c r="A106" s="166" t="s">
        <v>32</v>
      </c>
      <c r="B106" s="124" t="s">
        <v>372</v>
      </c>
      <c r="C106" s="124" t="s">
        <v>550</v>
      </c>
      <c r="D106" s="124" t="s">
        <v>551</v>
      </c>
    </row>
    <row r="107" spans="1:4" ht="12.75" customHeight="1">
      <c r="A107" s="166" t="s">
        <v>32</v>
      </c>
      <c r="B107" s="124" t="s">
        <v>372</v>
      </c>
      <c r="C107" s="124" t="s">
        <v>552</v>
      </c>
      <c r="D107" s="124" t="s">
        <v>553</v>
      </c>
    </row>
    <row r="108" spans="1:4" ht="12.75" customHeight="1">
      <c r="A108" s="166" t="s">
        <v>32</v>
      </c>
      <c r="B108" s="124" t="s">
        <v>372</v>
      </c>
      <c r="C108" s="124" t="s">
        <v>554</v>
      </c>
      <c r="D108" s="124" t="s">
        <v>555</v>
      </c>
    </row>
    <row r="109" spans="1:4" ht="12.75" customHeight="1">
      <c r="A109" s="166" t="s">
        <v>32</v>
      </c>
      <c r="B109" s="124" t="s">
        <v>372</v>
      </c>
      <c r="C109" s="124" t="s">
        <v>556</v>
      </c>
      <c r="D109" s="124" t="s">
        <v>557</v>
      </c>
    </row>
    <row r="110" spans="1:4" ht="12.75" customHeight="1">
      <c r="A110" s="166" t="s">
        <v>32</v>
      </c>
      <c r="B110" s="124" t="s">
        <v>372</v>
      </c>
      <c r="C110" s="124" t="s">
        <v>558</v>
      </c>
      <c r="D110" s="124" t="s">
        <v>559</v>
      </c>
    </row>
    <row r="111" spans="1:4" ht="12.75" customHeight="1">
      <c r="A111" s="166" t="s">
        <v>32</v>
      </c>
      <c r="B111" s="124" t="s">
        <v>372</v>
      </c>
      <c r="C111" s="124" t="s">
        <v>560</v>
      </c>
      <c r="D111" s="124" t="s">
        <v>561</v>
      </c>
    </row>
    <row r="112" spans="1:4" ht="12.75" customHeight="1">
      <c r="A112" s="166" t="s">
        <v>32</v>
      </c>
      <c r="B112" s="124" t="s">
        <v>391</v>
      </c>
      <c r="C112" s="124" t="s">
        <v>562</v>
      </c>
      <c r="D112" s="124" t="s">
        <v>563</v>
      </c>
    </row>
    <row r="113" spans="1:4" ht="12.75" customHeight="1">
      <c r="A113" s="166" t="s">
        <v>32</v>
      </c>
      <c r="B113" s="124" t="s">
        <v>391</v>
      </c>
      <c r="C113" s="124" t="s">
        <v>564</v>
      </c>
      <c r="D113" s="124" t="s">
        <v>565</v>
      </c>
    </row>
    <row r="114" spans="1:4" ht="12.75" customHeight="1">
      <c r="A114" s="166" t="s">
        <v>32</v>
      </c>
      <c r="B114" s="124" t="s">
        <v>391</v>
      </c>
      <c r="C114" s="124" t="s">
        <v>566</v>
      </c>
      <c r="D114" s="124" t="s">
        <v>567</v>
      </c>
    </row>
    <row r="115" spans="1:4" ht="12.75" customHeight="1">
      <c r="A115" s="166" t="s">
        <v>32</v>
      </c>
      <c r="B115" s="124" t="s">
        <v>391</v>
      </c>
      <c r="C115" s="124" t="s">
        <v>568</v>
      </c>
      <c r="D115" s="124" t="s">
        <v>569</v>
      </c>
    </row>
    <row r="116" spans="1:4" ht="12.75" customHeight="1">
      <c r="A116" s="166" t="s">
        <v>32</v>
      </c>
      <c r="B116" s="124" t="s">
        <v>391</v>
      </c>
      <c r="C116" s="124" t="s">
        <v>570</v>
      </c>
      <c r="D116" s="124" t="s">
        <v>571</v>
      </c>
    </row>
    <row r="117" spans="1:4" ht="12.75" customHeight="1">
      <c r="A117" s="166" t="s">
        <v>32</v>
      </c>
      <c r="B117" s="124" t="s">
        <v>391</v>
      </c>
      <c r="C117" s="124" t="s">
        <v>572</v>
      </c>
      <c r="D117" s="124" t="s">
        <v>573</v>
      </c>
    </row>
    <row r="118" spans="1:4" ht="12.75" customHeight="1">
      <c r="A118" s="166" t="s">
        <v>32</v>
      </c>
      <c r="B118" s="124" t="s">
        <v>391</v>
      </c>
      <c r="C118" s="124" t="s">
        <v>574</v>
      </c>
      <c r="D118" s="124" t="s">
        <v>575</v>
      </c>
    </row>
    <row r="119" spans="1:4" ht="12.75" customHeight="1">
      <c r="A119" s="166" t="s">
        <v>32</v>
      </c>
      <c r="B119" s="124" t="s">
        <v>391</v>
      </c>
      <c r="C119" s="124" t="s">
        <v>576</v>
      </c>
      <c r="D119" s="124" t="s">
        <v>491</v>
      </c>
    </row>
    <row r="120" spans="1:4" ht="12.75" customHeight="1">
      <c r="A120" s="166" t="s">
        <v>32</v>
      </c>
      <c r="B120" s="124" t="s">
        <v>391</v>
      </c>
      <c r="C120" s="124" t="s">
        <v>577</v>
      </c>
      <c r="D120" s="124" t="s">
        <v>578</v>
      </c>
    </row>
    <row r="121" spans="1:4" ht="12.75" customHeight="1">
      <c r="A121" s="166" t="s">
        <v>32</v>
      </c>
      <c r="B121" s="124" t="s">
        <v>391</v>
      </c>
      <c r="C121" s="124" t="s">
        <v>579</v>
      </c>
      <c r="D121" s="124" t="s">
        <v>557</v>
      </c>
    </row>
    <row r="122" spans="1:4" ht="12.75" customHeight="1">
      <c r="A122" s="166" t="s">
        <v>33</v>
      </c>
      <c r="B122" s="124" t="s">
        <v>351</v>
      </c>
      <c r="C122" s="124" t="s">
        <v>580</v>
      </c>
      <c r="D122" s="124" t="s">
        <v>581</v>
      </c>
    </row>
    <row r="123" spans="1:4" ht="12.75" customHeight="1">
      <c r="A123" s="166" t="s">
        <v>33</v>
      </c>
      <c r="B123" s="124" t="s">
        <v>351</v>
      </c>
      <c r="C123" s="124" t="s">
        <v>486</v>
      </c>
      <c r="D123" s="124" t="s">
        <v>367</v>
      </c>
    </row>
    <row r="124" spans="1:4" ht="12.75" customHeight="1">
      <c r="A124" s="166" t="s">
        <v>33</v>
      </c>
      <c r="B124" s="124" t="s">
        <v>351</v>
      </c>
      <c r="C124" s="124" t="s">
        <v>582</v>
      </c>
      <c r="D124" s="124" t="s">
        <v>583</v>
      </c>
    </row>
    <row r="125" spans="1:4" ht="12.75" customHeight="1">
      <c r="A125" s="166" t="s">
        <v>33</v>
      </c>
      <c r="B125" s="124" t="s">
        <v>351</v>
      </c>
      <c r="C125" s="124" t="s">
        <v>584</v>
      </c>
      <c r="D125" s="124" t="s">
        <v>371</v>
      </c>
    </row>
    <row r="126" spans="1:4" ht="12.75" customHeight="1">
      <c r="A126" s="166" t="s">
        <v>33</v>
      </c>
      <c r="B126" s="124" t="s">
        <v>351</v>
      </c>
      <c r="C126" s="124" t="s">
        <v>585</v>
      </c>
      <c r="D126" s="124" t="s">
        <v>586</v>
      </c>
    </row>
    <row r="127" spans="1:4" ht="12.75" customHeight="1">
      <c r="A127" s="166" t="s">
        <v>33</v>
      </c>
      <c r="B127" s="124" t="s">
        <v>372</v>
      </c>
      <c r="C127" s="124" t="s">
        <v>587</v>
      </c>
      <c r="D127" s="124" t="s">
        <v>536</v>
      </c>
    </row>
    <row r="128" spans="1:4" ht="12.75" customHeight="1">
      <c r="A128" s="166" t="s">
        <v>33</v>
      </c>
      <c r="B128" s="124" t="s">
        <v>372</v>
      </c>
      <c r="C128" s="124" t="s">
        <v>588</v>
      </c>
      <c r="D128" s="124" t="s">
        <v>589</v>
      </c>
    </row>
    <row r="129" spans="1:4" ht="12.75" customHeight="1">
      <c r="A129" s="166" t="s">
        <v>33</v>
      </c>
      <c r="B129" s="124" t="s">
        <v>372</v>
      </c>
      <c r="C129" s="124" t="s">
        <v>590</v>
      </c>
      <c r="D129" s="124" t="s">
        <v>591</v>
      </c>
    </row>
    <row r="130" spans="1:4" ht="12.75" customHeight="1">
      <c r="A130" s="166" t="s">
        <v>33</v>
      </c>
      <c r="B130" s="124" t="s">
        <v>372</v>
      </c>
      <c r="C130" s="124" t="s">
        <v>592</v>
      </c>
      <c r="D130" s="124" t="s">
        <v>593</v>
      </c>
    </row>
    <row r="131" spans="1:4" ht="12.75" customHeight="1">
      <c r="A131" s="166" t="s">
        <v>33</v>
      </c>
      <c r="B131" s="124" t="s">
        <v>372</v>
      </c>
      <c r="C131" s="124" t="s">
        <v>594</v>
      </c>
      <c r="D131" s="124" t="s">
        <v>595</v>
      </c>
    </row>
    <row r="132" spans="1:4" ht="12.75" customHeight="1">
      <c r="A132" s="166" t="s">
        <v>33</v>
      </c>
      <c r="B132" s="124" t="s">
        <v>391</v>
      </c>
      <c r="C132" s="124" t="s">
        <v>596</v>
      </c>
      <c r="D132" s="124" t="s">
        <v>597</v>
      </c>
    </row>
    <row r="133" spans="1:4" ht="12.75" customHeight="1">
      <c r="A133" s="166" t="s">
        <v>33</v>
      </c>
      <c r="B133" s="124" t="s">
        <v>391</v>
      </c>
      <c r="C133" s="124" t="s">
        <v>598</v>
      </c>
      <c r="D133" s="124" t="s">
        <v>371</v>
      </c>
    </row>
    <row r="134" spans="1:4" ht="12.75" customHeight="1">
      <c r="A134" s="166" t="s">
        <v>33</v>
      </c>
      <c r="B134" s="124" t="s">
        <v>391</v>
      </c>
      <c r="C134" s="124" t="s">
        <v>599</v>
      </c>
      <c r="D134" s="124" t="s">
        <v>600</v>
      </c>
    </row>
    <row r="135" spans="1:4" ht="12.75" customHeight="1">
      <c r="A135" s="166" t="s">
        <v>33</v>
      </c>
      <c r="B135" s="124" t="s">
        <v>391</v>
      </c>
      <c r="C135" s="124" t="s">
        <v>601</v>
      </c>
      <c r="D135" s="124" t="s">
        <v>602</v>
      </c>
    </row>
    <row r="136" spans="1:4" ht="12.75" customHeight="1">
      <c r="A136" s="166" t="s">
        <v>33</v>
      </c>
      <c r="B136" s="124" t="s">
        <v>391</v>
      </c>
      <c r="C136" s="124" t="s">
        <v>603</v>
      </c>
      <c r="D136" s="124" t="s">
        <v>604</v>
      </c>
    </row>
    <row r="137" spans="1:4" ht="12.75" customHeight="1">
      <c r="A137" s="166" t="s">
        <v>34</v>
      </c>
      <c r="B137" s="124" t="s">
        <v>351</v>
      </c>
      <c r="C137" s="124" t="s">
        <v>605</v>
      </c>
      <c r="D137" s="124" t="s">
        <v>606</v>
      </c>
    </row>
    <row r="138" spans="1:4" ht="12.75" customHeight="1">
      <c r="A138" s="166" t="s">
        <v>34</v>
      </c>
      <c r="B138" s="124" t="s">
        <v>351</v>
      </c>
      <c r="C138" s="124" t="s">
        <v>607</v>
      </c>
      <c r="D138" s="124" t="s">
        <v>608</v>
      </c>
    </row>
    <row r="139" spans="1:4" ht="12.75" customHeight="1">
      <c r="A139" s="166" t="s">
        <v>34</v>
      </c>
      <c r="B139" s="124" t="s">
        <v>351</v>
      </c>
      <c r="C139" s="124" t="s">
        <v>609</v>
      </c>
      <c r="D139" s="124" t="s">
        <v>610</v>
      </c>
    </row>
    <row r="140" spans="1:4" ht="12.75" customHeight="1">
      <c r="A140" s="166" t="s">
        <v>34</v>
      </c>
      <c r="B140" s="124" t="s">
        <v>351</v>
      </c>
      <c r="C140" s="124" t="s">
        <v>504</v>
      </c>
      <c r="D140" s="124" t="s">
        <v>505</v>
      </c>
    </row>
    <row r="141" spans="1:4" ht="12.75" customHeight="1">
      <c r="A141" s="166" t="s">
        <v>34</v>
      </c>
      <c r="B141" s="124" t="s">
        <v>351</v>
      </c>
      <c r="C141" s="124" t="s">
        <v>470</v>
      </c>
      <c r="D141" s="124" t="s">
        <v>471</v>
      </c>
    </row>
    <row r="142" spans="1:4" ht="12.75" customHeight="1">
      <c r="A142" s="166" t="s">
        <v>34</v>
      </c>
      <c r="B142" s="124" t="s">
        <v>372</v>
      </c>
      <c r="C142" s="124" t="s">
        <v>611</v>
      </c>
      <c r="D142" s="124" t="s">
        <v>612</v>
      </c>
    </row>
    <row r="143" spans="1:4" ht="12.75" customHeight="1">
      <c r="A143" s="166" t="s">
        <v>34</v>
      </c>
      <c r="B143" s="124" t="s">
        <v>372</v>
      </c>
      <c r="C143" s="124" t="s">
        <v>613</v>
      </c>
      <c r="D143" s="124" t="s">
        <v>614</v>
      </c>
    </row>
    <row r="144" spans="1:4" ht="12.75" customHeight="1">
      <c r="A144" s="166" t="s">
        <v>34</v>
      </c>
      <c r="B144" s="124" t="s">
        <v>372</v>
      </c>
      <c r="C144" s="124" t="s">
        <v>615</v>
      </c>
      <c r="D144" s="124" t="s">
        <v>616</v>
      </c>
    </row>
    <row r="145" spans="1:4" ht="12.75" customHeight="1">
      <c r="A145" s="166" t="s">
        <v>34</v>
      </c>
      <c r="B145" s="124" t="s">
        <v>372</v>
      </c>
      <c r="C145" s="124" t="s">
        <v>617</v>
      </c>
      <c r="D145" s="124" t="s">
        <v>618</v>
      </c>
    </row>
    <row r="146" spans="1:4" ht="12.75" customHeight="1">
      <c r="A146" s="166" t="s">
        <v>34</v>
      </c>
      <c r="B146" s="124" t="s">
        <v>372</v>
      </c>
      <c r="C146" s="124" t="s">
        <v>619</v>
      </c>
      <c r="D146" s="124" t="s">
        <v>593</v>
      </c>
    </row>
    <row r="147" spans="1:4" ht="12.75" customHeight="1">
      <c r="A147" s="166" t="s">
        <v>34</v>
      </c>
      <c r="B147" s="124" t="s">
        <v>391</v>
      </c>
      <c r="C147" s="124" t="s">
        <v>620</v>
      </c>
      <c r="D147" s="124" t="s">
        <v>578</v>
      </c>
    </row>
    <row r="148" spans="1:4" ht="12.75" customHeight="1">
      <c r="A148" s="166" t="s">
        <v>34</v>
      </c>
      <c r="B148" s="124" t="s">
        <v>391</v>
      </c>
      <c r="C148" s="124" t="s">
        <v>621</v>
      </c>
      <c r="D148" s="124" t="s">
        <v>622</v>
      </c>
    </row>
    <row r="149" spans="1:4" ht="12.75" customHeight="1">
      <c r="A149" s="166" t="s">
        <v>34</v>
      </c>
      <c r="B149" s="124" t="s">
        <v>391</v>
      </c>
      <c r="C149" s="124" t="s">
        <v>623</v>
      </c>
      <c r="D149" s="124" t="s">
        <v>438</v>
      </c>
    </row>
    <row r="150" spans="1:4" ht="12.75" customHeight="1">
      <c r="A150" s="166" t="s">
        <v>34</v>
      </c>
      <c r="B150" s="124" t="s">
        <v>391</v>
      </c>
      <c r="C150" s="124" t="s">
        <v>624</v>
      </c>
      <c r="D150" s="124" t="s">
        <v>625</v>
      </c>
    </row>
    <row r="151" spans="1:4" ht="12.75" customHeight="1">
      <c r="A151" s="166" t="s">
        <v>34</v>
      </c>
      <c r="B151" s="124" t="s">
        <v>391</v>
      </c>
      <c r="C151" s="124" t="s">
        <v>626</v>
      </c>
      <c r="D151" s="124" t="s">
        <v>627</v>
      </c>
    </row>
    <row r="152" spans="1:4" ht="25.5" customHeight="1">
      <c r="A152" s="166" t="s">
        <v>270</v>
      </c>
      <c r="B152" s="124" t="s">
        <v>351</v>
      </c>
      <c r="C152" s="124" t="s">
        <v>628</v>
      </c>
      <c r="D152" s="124" t="s">
        <v>371</v>
      </c>
    </row>
    <row r="153" spans="1:4" ht="25.5" customHeight="1">
      <c r="A153" s="166" t="s">
        <v>270</v>
      </c>
      <c r="B153" s="124" t="s">
        <v>351</v>
      </c>
      <c r="C153" s="124" t="s">
        <v>629</v>
      </c>
      <c r="D153" s="124" t="s">
        <v>630</v>
      </c>
    </row>
    <row r="154" spans="1:4" ht="25.5" customHeight="1">
      <c r="A154" s="166" t="s">
        <v>270</v>
      </c>
      <c r="B154" s="124" t="s">
        <v>351</v>
      </c>
      <c r="C154" s="124" t="s">
        <v>631</v>
      </c>
      <c r="D154" s="124" t="s">
        <v>632</v>
      </c>
    </row>
    <row r="155" spans="1:4" ht="25.5" customHeight="1">
      <c r="A155" s="166" t="s">
        <v>270</v>
      </c>
      <c r="B155" s="124" t="s">
        <v>351</v>
      </c>
      <c r="C155" s="124" t="s">
        <v>633</v>
      </c>
      <c r="D155" s="124" t="s">
        <v>634</v>
      </c>
    </row>
    <row r="156" spans="1:4" ht="25.5" customHeight="1">
      <c r="A156" s="166" t="s">
        <v>270</v>
      </c>
      <c r="B156" s="124" t="s">
        <v>351</v>
      </c>
      <c r="C156" s="124" t="s">
        <v>635</v>
      </c>
      <c r="D156" s="124" t="s">
        <v>636</v>
      </c>
    </row>
    <row r="157" spans="1:4" ht="25.5" customHeight="1">
      <c r="A157" s="166" t="s">
        <v>270</v>
      </c>
      <c r="B157" s="124" t="s">
        <v>372</v>
      </c>
      <c r="C157" s="124" t="s">
        <v>637</v>
      </c>
      <c r="D157" s="124" t="s">
        <v>397</v>
      </c>
    </row>
    <row r="158" spans="1:4" ht="25.5" customHeight="1">
      <c r="A158" s="166" t="s">
        <v>270</v>
      </c>
      <c r="B158" s="124" t="s">
        <v>372</v>
      </c>
      <c r="C158" s="124" t="s">
        <v>638</v>
      </c>
      <c r="D158" s="124" t="s">
        <v>639</v>
      </c>
    </row>
    <row r="159" spans="1:4" ht="25.5" customHeight="1">
      <c r="A159" s="166" t="s">
        <v>270</v>
      </c>
      <c r="B159" s="124" t="s">
        <v>372</v>
      </c>
      <c r="C159" s="124" t="s">
        <v>640</v>
      </c>
      <c r="D159" s="124" t="s">
        <v>632</v>
      </c>
    </row>
    <row r="160" spans="1:4" ht="25.5" customHeight="1">
      <c r="A160" s="166" t="s">
        <v>270</v>
      </c>
      <c r="B160" s="124" t="s">
        <v>372</v>
      </c>
      <c r="C160" s="124" t="s">
        <v>641</v>
      </c>
      <c r="D160" s="124" t="s">
        <v>642</v>
      </c>
    </row>
    <row r="161" spans="1:4" ht="25.5" customHeight="1">
      <c r="A161" s="166" t="s">
        <v>270</v>
      </c>
      <c r="B161" s="124" t="s">
        <v>372</v>
      </c>
      <c r="C161" s="124" t="s">
        <v>643</v>
      </c>
      <c r="D161" s="124" t="s">
        <v>644</v>
      </c>
    </row>
    <row r="162" spans="1:4" ht="25.5" customHeight="1">
      <c r="A162" s="166" t="s">
        <v>270</v>
      </c>
      <c r="B162" s="124" t="s">
        <v>391</v>
      </c>
      <c r="C162" s="124" t="s">
        <v>645</v>
      </c>
      <c r="D162" s="124" t="s">
        <v>646</v>
      </c>
    </row>
    <row r="163" spans="1:4" ht="25.5" customHeight="1">
      <c r="A163" s="166" t="s">
        <v>270</v>
      </c>
      <c r="B163" s="124" t="s">
        <v>391</v>
      </c>
      <c r="C163" s="124" t="s">
        <v>647</v>
      </c>
      <c r="D163" s="124" t="s">
        <v>634</v>
      </c>
    </row>
    <row r="164" spans="1:4" ht="25.5" customHeight="1">
      <c r="A164" s="166" t="s">
        <v>270</v>
      </c>
      <c r="B164" s="124" t="s">
        <v>391</v>
      </c>
      <c r="C164" s="124" t="s">
        <v>648</v>
      </c>
      <c r="D164" s="124" t="s">
        <v>649</v>
      </c>
    </row>
    <row r="165" spans="1:4" ht="25.5" customHeight="1">
      <c r="A165" s="166" t="s">
        <v>270</v>
      </c>
      <c r="B165" s="124" t="s">
        <v>391</v>
      </c>
      <c r="C165" s="124" t="s">
        <v>650</v>
      </c>
      <c r="D165" s="124" t="s">
        <v>651</v>
      </c>
    </row>
    <row r="166" spans="1:4" ht="25.5" customHeight="1">
      <c r="A166" s="166" t="s">
        <v>270</v>
      </c>
      <c r="B166" s="124" t="s">
        <v>391</v>
      </c>
      <c r="C166" s="124" t="s">
        <v>652</v>
      </c>
      <c r="D166" s="124" t="s">
        <v>597</v>
      </c>
    </row>
  </sheetData>
  <sheetProtection algorithmName="SHA-512" hashValue="qAifZWGbcy9EHXPV9Ya3ZC3w59XCxPuktKKHnsQrjtCmTcbDQOLskab8LDrNlrA67SdfHuh9VrUIb9RweYjb8A==" saltValue="6spRKtcban0N0t9pzzQIIw==" spinCount="100000" sheet="1" objects="1" scenarios="1" selectLockedCells="1"/>
  <pageMargins left="0.75" right="0.75" top="1" bottom="1" header="0.511811023622047" footer="0.51180555555555596"/>
  <pageSetup paperSize="9" orientation="portrait" horizontalDpi="300" verticalDpi="300" r:id="rId1"/>
  <headerFooter>
    <oddFooter>&amp;C&amp;8 &amp;K888888© 2025 Rabiga Sagyndykova · LOLA System · Запрещена перепродажа и передача третьим лицам&amp;R&amp;8 Стр. &amp;P из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E46C0A"/>
  </sheetPr>
  <dimension ref="A1:H13"/>
  <sheetViews>
    <sheetView topLeftCell="A4" zoomScaleNormal="100" workbookViewId="0">
      <selection activeCell="A4" sqref="A1:D8"/>
    </sheetView>
  </sheetViews>
  <sheetFormatPr defaultColWidth="8.7265625" defaultRowHeight="14.5"/>
  <cols>
    <col min="1" max="1" width="9.54296875" style="17" customWidth="1"/>
    <col min="2" max="2" width="17.54296875" style="17" customWidth="1"/>
    <col min="3" max="3" width="15" style="17" customWidth="1"/>
    <col min="4" max="4" width="16.453125" style="17" customWidth="1"/>
  </cols>
  <sheetData>
    <row r="1" spans="1:8" ht="24" customHeight="1">
      <c r="A1" s="163" t="s">
        <v>653</v>
      </c>
      <c r="B1" s="164" t="s">
        <v>654</v>
      </c>
      <c r="C1" s="164" t="s">
        <v>655</v>
      </c>
      <c r="D1" s="164" t="s">
        <v>656</v>
      </c>
      <c r="E1" s="38"/>
      <c r="F1" s="38"/>
      <c r="G1" s="34"/>
      <c r="H1" s="34"/>
    </row>
    <row r="2" spans="1:8" ht="36" customHeight="1">
      <c r="A2" s="165" t="s">
        <v>29</v>
      </c>
      <c r="B2" s="165" t="s">
        <v>657</v>
      </c>
      <c r="C2" s="165" t="s">
        <v>658</v>
      </c>
      <c r="D2" s="165" t="s">
        <v>659</v>
      </c>
      <c r="E2" s="38"/>
    </row>
    <row r="3" spans="1:8" ht="36" customHeight="1">
      <c r="A3" s="165" t="s">
        <v>106</v>
      </c>
      <c r="B3" s="165" t="s">
        <v>660</v>
      </c>
      <c r="C3" s="165" t="s">
        <v>661</v>
      </c>
      <c r="D3" s="165" t="s">
        <v>662</v>
      </c>
      <c r="E3" s="38"/>
      <c r="F3" s="38"/>
    </row>
    <row r="4" spans="1:8" ht="36" customHeight="1">
      <c r="A4" s="165" t="s">
        <v>31</v>
      </c>
      <c r="B4" s="165" t="s">
        <v>663</v>
      </c>
      <c r="C4" s="165" t="s">
        <v>664</v>
      </c>
      <c r="D4" s="165" t="s">
        <v>665</v>
      </c>
      <c r="E4" s="38"/>
      <c r="F4" s="38"/>
    </row>
    <row r="5" spans="1:8" ht="36" customHeight="1">
      <c r="A5" s="165" t="s">
        <v>32</v>
      </c>
      <c r="B5" s="165" t="s">
        <v>666</v>
      </c>
      <c r="C5" s="165" t="s">
        <v>667</v>
      </c>
      <c r="D5" s="165" t="s">
        <v>668</v>
      </c>
      <c r="E5" s="38"/>
      <c r="F5" s="38"/>
    </row>
    <row r="6" spans="1:8" ht="24" customHeight="1">
      <c r="A6" s="165" t="s">
        <v>33</v>
      </c>
      <c r="B6" s="165" t="s">
        <v>669</v>
      </c>
      <c r="C6" s="165" t="s">
        <v>670</v>
      </c>
      <c r="D6" s="165" t="s">
        <v>671</v>
      </c>
      <c r="E6" s="38"/>
      <c r="F6" s="38"/>
    </row>
    <row r="7" spans="1:8" ht="36" customHeight="1">
      <c r="A7" s="165" t="s">
        <v>34</v>
      </c>
      <c r="B7" s="165" t="s">
        <v>672</v>
      </c>
      <c r="C7" s="165" t="s">
        <v>673</v>
      </c>
      <c r="D7" s="165" t="s">
        <v>674</v>
      </c>
      <c r="E7" s="38"/>
      <c r="F7" s="38"/>
    </row>
    <row r="8" spans="1:8" ht="36" customHeight="1">
      <c r="A8" s="165" t="s">
        <v>270</v>
      </c>
      <c r="B8" s="165" t="s">
        <v>675</v>
      </c>
      <c r="C8" s="165" t="s">
        <v>676</v>
      </c>
      <c r="D8" s="165" t="s">
        <v>677</v>
      </c>
      <c r="E8" s="38"/>
      <c r="F8" s="38"/>
    </row>
    <row r="9" spans="1:8" ht="15" customHeight="1">
      <c r="A9" s="38"/>
      <c r="B9" s="38"/>
      <c r="C9" s="38"/>
      <c r="D9" s="38"/>
      <c r="E9" s="38"/>
    </row>
    <row r="10" spans="1:8" ht="15" customHeight="1">
      <c r="A10" s="38"/>
      <c r="B10" s="38"/>
      <c r="C10" s="38"/>
      <c r="D10" s="38"/>
      <c r="E10" s="38"/>
    </row>
    <row r="11" spans="1:8" ht="15" customHeight="1">
      <c r="A11" s="38"/>
      <c r="B11" s="38"/>
      <c r="C11" s="38"/>
      <c r="D11" s="38"/>
      <c r="E11" s="38"/>
    </row>
    <row r="12" spans="1:8" ht="15" customHeight="1">
      <c r="A12" s="38"/>
      <c r="B12" s="38"/>
      <c r="C12" s="38"/>
      <c r="D12" s="38"/>
      <c r="E12" s="38"/>
    </row>
    <row r="13" spans="1:8" ht="15" customHeight="1">
      <c r="A13" s="38"/>
      <c r="B13" s="38"/>
      <c r="C13" s="38"/>
      <c r="D13" s="38"/>
      <c r="E13" s="38"/>
    </row>
  </sheetData>
  <sheetProtection algorithmName="SHA-512" hashValue="3lvAkxv7mX2GJn57TmImoCtHyCQBDOyChK0Fx71EYOcgvuJQTO28hae0FjXaBn3uIHkkSawt6XLr3wzqKzq3Pg==" saltValue="qjSYe3w6Rb4QftTaNERgZw==" spinCount="100000" sheet="1" objects="1" scenarios="1" selectLockedCells="1"/>
  <pageMargins left="0.75" right="0.75" top="1" bottom="1" header="0.511811023622047" footer="0.51180555555555596"/>
  <pageSetup paperSize="9" orientation="portrait" horizontalDpi="300" verticalDpi="300"/>
  <headerFooter>
    <oddFooter>&amp;C&amp;8 &amp;K888888© 2025 Rabiga Sagyndykova · LOLA System · Запрещена перепродажа и передача третьим лицам&amp;R&amp;8 Стр. &amp;P из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8"/>
  <sheetViews>
    <sheetView topLeftCell="A4" zoomScaleNormal="100" workbookViewId="0">
      <selection activeCell="A4" sqref="A4:C8"/>
    </sheetView>
  </sheetViews>
  <sheetFormatPr defaultColWidth="8.7265625" defaultRowHeight="14.5"/>
  <cols>
    <col min="1" max="1" width="22" style="17" customWidth="1"/>
    <col min="2" max="2" width="29.81640625" style="17" customWidth="1"/>
    <col min="3" max="3" width="36" style="17" customWidth="1"/>
  </cols>
  <sheetData>
    <row r="1" spans="1:3" ht="15" customHeight="1">
      <c r="A1" s="39" t="s">
        <v>59</v>
      </c>
      <c r="B1" s="39" t="s">
        <v>678</v>
      </c>
      <c r="C1" s="39" t="s">
        <v>253</v>
      </c>
    </row>
    <row r="2" spans="1:3" ht="15" customHeight="1">
      <c r="A2" t="s">
        <v>29</v>
      </c>
      <c r="B2" t="s">
        <v>679</v>
      </c>
      <c r="C2" t="s">
        <v>680</v>
      </c>
    </row>
    <row r="3" spans="1:3" ht="15" customHeight="1">
      <c r="A3" t="s">
        <v>106</v>
      </c>
      <c r="B3" t="s">
        <v>681</v>
      </c>
      <c r="C3" t="s">
        <v>682</v>
      </c>
    </row>
    <row r="4" spans="1:3" ht="15" customHeight="1">
      <c r="A4" t="s">
        <v>31</v>
      </c>
      <c r="B4" t="s">
        <v>683</v>
      </c>
      <c r="C4" t="s">
        <v>684</v>
      </c>
    </row>
    <row r="5" spans="1:3" ht="15" customHeight="1">
      <c r="A5" t="s">
        <v>32</v>
      </c>
      <c r="B5" t="s">
        <v>685</v>
      </c>
      <c r="C5" t="s">
        <v>686</v>
      </c>
    </row>
    <row r="6" spans="1:3" ht="15" customHeight="1">
      <c r="A6" t="s">
        <v>33</v>
      </c>
      <c r="B6" t="s">
        <v>687</v>
      </c>
      <c r="C6" t="s">
        <v>688</v>
      </c>
    </row>
    <row r="7" spans="1:3" ht="15" customHeight="1">
      <c r="A7" t="s">
        <v>34</v>
      </c>
      <c r="B7" t="s">
        <v>689</v>
      </c>
      <c r="C7" t="s">
        <v>690</v>
      </c>
    </row>
    <row r="8" spans="1:3" ht="15" customHeight="1">
      <c r="A8" t="s">
        <v>270</v>
      </c>
      <c r="B8" t="s">
        <v>681</v>
      </c>
      <c r="C8" t="s">
        <v>691</v>
      </c>
    </row>
  </sheetData>
  <sheetProtection algorithmName="SHA-512" hashValue="190bRW1CuzkQcZ9rLLCbxNnuK15Edt6q31XjGEpiQ/YiB6XIeuJeo3YrphPuqz73X4c5YH0qzcv53HqjwhqrbQ==" saltValue="CehnxTj9di9dSTbGwPPO2Q==" spinCount="100000" sheet="1" objects="1" scenarios="1" selectLockedCells="1"/>
  <pageMargins left="0.75" right="0.75" top="1" bottom="1" header="0.511811023622047" footer="0.51180555555555596"/>
  <pageSetup paperSize="9" orientation="portrait" horizontalDpi="300" verticalDpi="300"/>
  <headerFooter>
    <oddFooter>&amp;C&amp;8 &amp;K888888© 2025 Rabiga Sagyndykova · LOLA System · Запрещена перепродажа и передача третьим лицам&amp;R&amp;8 Стр. &amp;P из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9"/>
  <sheetViews>
    <sheetView zoomScaleNormal="100" workbookViewId="0">
      <selection sqref="A1:D9"/>
    </sheetView>
  </sheetViews>
  <sheetFormatPr defaultColWidth="8.7265625" defaultRowHeight="14.5"/>
  <cols>
    <col min="1" max="1" width="26" style="17" customWidth="1"/>
    <col min="2" max="2" width="30" style="17" customWidth="1"/>
    <col min="3" max="3" width="14" style="17" customWidth="1"/>
    <col min="4" max="4" width="42" style="17" customWidth="1"/>
  </cols>
  <sheetData>
    <row r="1" spans="1:4" ht="27.75" customHeight="1">
      <c r="A1" s="158" t="s">
        <v>692</v>
      </c>
      <c r="B1" s="158" t="s">
        <v>693</v>
      </c>
      <c r="C1" s="158" t="s">
        <v>694</v>
      </c>
      <c r="D1" s="158" t="s">
        <v>38</v>
      </c>
    </row>
    <row r="2" spans="1:4" ht="15" customHeight="1">
      <c r="A2" s="66" t="s">
        <v>695</v>
      </c>
      <c r="B2" s="66" t="s">
        <v>696</v>
      </c>
      <c r="C2" s="141">
        <f>AVERAGE(профиль!F2,профиль!F3)</f>
        <v>0</v>
      </c>
      <c r="D2" s="66" t="str">
        <f t="shared" ref="D2:D7" si="0">IF(C2&gt;=0.75,"Функция развита относительно хорошо",IF(C2&gt;=0.5,"Функция требует развития","Функция является слабым звеном"))</f>
        <v>Функция является слабым звеном</v>
      </c>
    </row>
    <row r="3" spans="1:4" ht="15" customHeight="1">
      <c r="A3" s="66" t="s">
        <v>697</v>
      </c>
      <c r="B3" s="66" t="s">
        <v>698</v>
      </c>
      <c r="C3" s="141">
        <f>AVERAGE(профиль!F2,профиль!F6)</f>
        <v>0</v>
      </c>
      <c r="D3" s="66" t="str">
        <f t="shared" si="0"/>
        <v>Функция является слабым звеном</v>
      </c>
    </row>
    <row r="4" spans="1:4" ht="15" customHeight="1">
      <c r="A4" s="66" t="s">
        <v>699</v>
      </c>
      <c r="B4" s="66" t="s">
        <v>32</v>
      </c>
      <c r="C4" s="162">
        <f>профиль!F5</f>
        <v>0</v>
      </c>
      <c r="D4" s="66" t="str">
        <f t="shared" si="0"/>
        <v>Функция является слабым звеном</v>
      </c>
    </row>
    <row r="5" spans="1:4" ht="15" customHeight="1">
      <c r="A5" s="66" t="s">
        <v>700</v>
      </c>
      <c r="B5" s="66" t="s">
        <v>701</v>
      </c>
      <c r="C5" s="141">
        <f>AVERAGE(профиль!F4,профиль!F7)</f>
        <v>0</v>
      </c>
      <c r="D5" s="66" t="str">
        <f t="shared" si="0"/>
        <v>Функция является слабым звеном</v>
      </c>
    </row>
    <row r="6" spans="1:4" ht="15" customHeight="1">
      <c r="A6" s="66" t="s">
        <v>702</v>
      </c>
      <c r="B6" s="66" t="s">
        <v>33</v>
      </c>
      <c r="C6" s="162">
        <f>профиль!F6</f>
        <v>0</v>
      </c>
      <c r="D6" s="66" t="str">
        <f t="shared" si="0"/>
        <v>Функция является слабым звеном</v>
      </c>
    </row>
    <row r="7" spans="1:4" ht="15" customHeight="1">
      <c r="A7" s="66" t="s">
        <v>703</v>
      </c>
      <c r="B7" s="66" t="s">
        <v>270</v>
      </c>
      <c r="C7" s="162">
        <f>профиль!F8</f>
        <v>0</v>
      </c>
      <c r="D7" s="66" t="str">
        <f t="shared" si="0"/>
        <v>Функция является слабым звеном</v>
      </c>
    </row>
    <row r="8" spans="1:4">
      <c r="A8" s="66"/>
      <c r="B8" s="66"/>
      <c r="C8" s="66"/>
      <c r="D8" s="66"/>
    </row>
    <row r="9" spans="1:4" ht="15" customHeight="1">
      <c r="A9" s="109" t="s">
        <v>704</v>
      </c>
      <c r="B9" s="66"/>
      <c r="C9" s="66" t="str">
        <f>INDEX(A2:A7,MATCH(MIN(C2:C7),C2:C7,0))</f>
        <v>Моторный контроль</v>
      </c>
      <c r="D9" s="66" t="str">
        <f>CONCATENATE("Наиболее уязвимая нейрофункция: ",C9)</f>
        <v>Наиболее уязвимая нейрофункция: Моторный контроль</v>
      </c>
    </row>
  </sheetData>
  <sheetProtection algorithmName="SHA-512" hashValue="cH4mAe67LzdQX+kvVpDPAlAzrYvautVERs63cgZWgL9vEp1oXdN0qW9fF4WWqQ/zURFWECZsRc6CjO19FWiH4g==" saltValue="LOYv5W19u/6dM7gS7PRHgw==" spinCount="100000" sheet="1" objects="1" scenarios="1" selectLockedCells="1"/>
  <pageMargins left="0.75" right="0.75" top="1" bottom="1" header="0.511811023622047" footer="0.51180555555555596"/>
  <pageSetup paperSize="9" orientation="portrait" horizontalDpi="300" verticalDpi="300"/>
  <headerFooter>
    <oddFooter>&amp;C&amp;8 &amp;K888888© 2025 Rabiga Sagyndykova · LOLA System · Запрещена перепродажа и передача третьим лицам&amp;R&amp;8 Стр. &amp;P из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0"/>
  <sheetViews>
    <sheetView zoomScaleNormal="100" workbookViewId="0">
      <selection sqref="A1:E10"/>
    </sheetView>
  </sheetViews>
  <sheetFormatPr defaultColWidth="8.7265625" defaultRowHeight="14.5"/>
  <cols>
    <col min="1" max="1" width="19.81640625" style="17" customWidth="1"/>
    <col min="2" max="2" width="23" style="17" customWidth="1"/>
    <col min="3" max="3" width="9.26953125" style="17" customWidth="1"/>
    <col min="4" max="4" width="38" style="17" customWidth="1"/>
    <col min="5" max="5" width="36" style="17" customWidth="1"/>
  </cols>
  <sheetData>
    <row r="1" spans="1:5" ht="27.75" customHeight="1">
      <c r="A1" s="158" t="s">
        <v>705</v>
      </c>
      <c r="B1" s="158" t="s">
        <v>693</v>
      </c>
      <c r="C1" s="158" t="s">
        <v>694</v>
      </c>
      <c r="D1" s="158" t="s">
        <v>38</v>
      </c>
      <c r="E1" s="158" t="s">
        <v>706</v>
      </c>
    </row>
    <row r="2" spans="1:5" ht="15" customHeight="1">
      <c r="A2" s="114" t="s">
        <v>707</v>
      </c>
      <c r="B2" s="114" t="s">
        <v>708</v>
      </c>
      <c r="C2" s="159">
        <f>AVERAGE(профиль!F5,профиль!F3)</f>
        <v>0</v>
      </c>
      <c r="D2" s="114" t="str">
        <f t="shared" ref="D2:D7" si="0">IF(C2&gt;=0.75,"Система функционирует относительно стабильно",IF(C2&gt;=0.5,"Требуется сенсорная поддержка","Вероятны выраженные сенсорные трудности"))</f>
        <v>Вероятны выраженные сенсорные трудности</v>
      </c>
      <c r="E2" s="114" t="s">
        <v>709</v>
      </c>
    </row>
    <row r="3" spans="1:5" ht="15" customHeight="1">
      <c r="A3" s="114" t="s">
        <v>710</v>
      </c>
      <c r="B3" s="114" t="s">
        <v>31</v>
      </c>
      <c r="C3" s="160">
        <f>профиль!F4</f>
        <v>0</v>
      </c>
      <c r="D3" s="114" t="str">
        <f t="shared" si="0"/>
        <v>Вероятны выраженные сенсорные трудности</v>
      </c>
      <c r="E3" s="114" t="s">
        <v>711</v>
      </c>
    </row>
    <row r="4" spans="1:5" ht="15" customHeight="1">
      <c r="A4" s="114" t="s">
        <v>712</v>
      </c>
      <c r="B4" s="114" t="s">
        <v>713</v>
      </c>
      <c r="C4" s="159">
        <f>AVERAGE(профиль!F6,профиль!F3)</f>
        <v>0</v>
      </c>
      <c r="D4" s="114" t="str">
        <f t="shared" si="0"/>
        <v>Вероятны выраженные сенсорные трудности</v>
      </c>
      <c r="E4" s="114" t="s">
        <v>714</v>
      </c>
    </row>
    <row r="5" spans="1:5" ht="15" customHeight="1">
      <c r="A5" s="114" t="s">
        <v>715</v>
      </c>
      <c r="B5" s="114" t="s">
        <v>29</v>
      </c>
      <c r="C5" s="160">
        <f>профиль!F2</f>
        <v>0</v>
      </c>
      <c r="D5" s="114" t="str">
        <f t="shared" si="0"/>
        <v>Вероятны выраженные сенсорные трудности</v>
      </c>
      <c r="E5" s="114" t="s">
        <v>716</v>
      </c>
    </row>
    <row r="6" spans="1:5" ht="15" customHeight="1">
      <c r="A6" s="114" t="s">
        <v>717</v>
      </c>
      <c r="B6" s="114" t="s">
        <v>29</v>
      </c>
      <c r="C6" s="160">
        <f>профиль!F2</f>
        <v>0</v>
      </c>
      <c r="D6" s="114" t="str">
        <f t="shared" si="0"/>
        <v>Вероятны выраженные сенсорные трудности</v>
      </c>
      <c r="E6" s="114" t="s">
        <v>718</v>
      </c>
    </row>
    <row r="7" spans="1:5" ht="15" customHeight="1">
      <c r="A7" s="114" t="s">
        <v>719</v>
      </c>
      <c r="B7" s="114" t="s">
        <v>270</v>
      </c>
      <c r="C7" s="160">
        <f>профиль!F8</f>
        <v>0</v>
      </c>
      <c r="D7" s="114" t="str">
        <f t="shared" si="0"/>
        <v>Вероятны выраженные сенсорные трудности</v>
      </c>
      <c r="E7" s="114" t="s">
        <v>720</v>
      </c>
    </row>
    <row r="8" spans="1:5">
      <c r="A8" s="114"/>
      <c r="B8" s="114"/>
      <c r="C8" s="114"/>
      <c r="D8" s="114"/>
      <c r="E8" s="114"/>
    </row>
    <row r="9" spans="1:5" ht="15" customHeight="1">
      <c r="A9" s="161" t="s">
        <v>721</v>
      </c>
      <c r="B9" s="114"/>
      <c r="C9" s="114" t="str">
        <f>INDEX(A2:A7,MATCH(MIN(C2:C7),C2:C7,0))</f>
        <v>Зрение</v>
      </c>
      <c r="D9" s="114" t="str">
        <f>CONCATENATE("Наиболее уязвимая сенсорная система: ",C9)</f>
        <v>Наиболее уязвимая сенсорная система: Зрение</v>
      </c>
      <c r="E9" s="114"/>
    </row>
    <row r="10" spans="1:5">
      <c r="A10" s="66"/>
      <c r="B10" s="66"/>
      <c r="C10" s="66"/>
      <c r="D10" s="66"/>
      <c r="E10" s="66"/>
    </row>
  </sheetData>
  <sheetProtection algorithmName="SHA-512" hashValue="XKiAT0RRGPHg7eY/+HhLINs/IzgJWP47dYpd0KtImOzvm3EQo9wSPrMKfIVzrlWjCSEWr9x6xXZj10RhIhUKNQ==" saltValue="FWrNZBnZJHhLbJ3B8VXzKg==" spinCount="100000" sheet="1" objects="1" scenarios="1" selectLockedCells="1"/>
  <pageMargins left="0.75" right="0.75" top="1" bottom="1" header="0.511811023622047" footer="0.51180555555555596"/>
  <pageSetup paperSize="9" orientation="portrait" horizontalDpi="300" verticalDpi="300" r:id="rId1"/>
  <headerFooter>
    <oddFooter>&amp;C&amp;8 &amp;K888888© 2025 Rabiga Sagyndykova · LOLA System · Запрещена перепродажа и передача третьим лицам&amp;R&amp;8 Стр. &amp;P из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0"/>
  <sheetViews>
    <sheetView view="pageLayout" topLeftCell="A47" zoomScaleNormal="100" workbookViewId="0">
      <selection activeCell="C4" sqref="C4"/>
    </sheetView>
  </sheetViews>
  <sheetFormatPr defaultColWidth="8.7265625" defaultRowHeight="14.5"/>
  <cols>
    <col min="1" max="1" width="17" style="17" customWidth="1"/>
    <col min="2" max="2" width="13.81640625" style="17" customWidth="1"/>
    <col min="3" max="3" width="41" style="17" customWidth="1"/>
    <col min="4" max="4" width="30" style="17" customWidth="1"/>
  </cols>
  <sheetData>
    <row r="1" spans="1:8" ht="27.75" customHeight="1">
      <c r="A1" s="39" t="s">
        <v>722</v>
      </c>
      <c r="B1" s="39" t="s">
        <v>723</v>
      </c>
      <c r="C1" s="39" t="s">
        <v>724</v>
      </c>
      <c r="D1" s="39" t="s">
        <v>725</v>
      </c>
    </row>
    <row r="2" spans="1:8" ht="15" customHeight="1">
      <c r="A2" s="1" t="s">
        <v>726</v>
      </c>
      <c r="B2" s="40">
        <f>профиль!F2</f>
        <v>0</v>
      </c>
      <c r="C2" s="1" t="str">
        <f>IF(B2&lt;0.5,"Возможная моторная причина задержки","")</f>
        <v>Возможная моторная причина задержки</v>
      </c>
      <c r="D2" s="1" t="s">
        <v>727</v>
      </c>
      <c r="E2" s="1"/>
      <c r="F2" s="1"/>
      <c r="G2" s="1"/>
      <c r="H2" s="1"/>
    </row>
    <row r="3" spans="1:8" ht="15" customHeight="1">
      <c r="A3" s="1" t="s">
        <v>728</v>
      </c>
      <c r="B3" s="45" t="str">
        <f>СЕНСОРИКА!C9</f>
        <v>Зрение</v>
      </c>
      <c r="C3" s="1" t="str">
        <f>IF(B3&lt;0.5,"Возможная сенсорная причина задержки","")</f>
        <v/>
      </c>
      <c r="D3" s="1" t="s">
        <v>697</v>
      </c>
      <c r="E3" s="1"/>
      <c r="F3" s="1"/>
      <c r="G3" s="1"/>
      <c r="H3" s="1"/>
    </row>
    <row r="4" spans="1:8" ht="15" customHeight="1">
      <c r="A4" s="1" t="s">
        <v>729</v>
      </c>
      <c r="B4" s="40">
        <f>профиль!F4</f>
        <v>0</v>
      </c>
      <c r="C4" s="1" t="str">
        <f>IF(B4&lt;0.5,"Возможная коммуникативная причина задержки","")</f>
        <v>Возможная коммуникативная причина задержки</v>
      </c>
      <c r="D4" s="1" t="s">
        <v>683</v>
      </c>
      <c r="E4" s="1"/>
      <c r="F4" s="1"/>
      <c r="G4" s="1"/>
      <c r="H4" s="1"/>
    </row>
    <row r="5" spans="1:8" ht="15" customHeight="1">
      <c r="A5" s="1" t="s">
        <v>730</v>
      </c>
      <c r="B5" s="40">
        <f>профиль!F5</f>
        <v>0</v>
      </c>
      <c r="C5" s="1" t="str">
        <f>IF(B5&lt;0.5,"Возможная когнитивная причина задержки","")</f>
        <v>Возможная когнитивная причина задержки</v>
      </c>
      <c r="D5" s="1" t="s">
        <v>685</v>
      </c>
      <c r="E5" s="1"/>
      <c r="F5" s="1"/>
      <c r="G5" s="1"/>
      <c r="H5" s="1"/>
    </row>
    <row r="6" spans="1:8" ht="15" customHeight="1">
      <c r="A6" s="1" t="s">
        <v>731</v>
      </c>
      <c r="B6" s="40">
        <f>профиль!F6</f>
        <v>0</v>
      </c>
      <c r="C6" s="1" t="str">
        <f>IF(B6&lt;0.5,"Возможная эмоциональная причина задержки","")</f>
        <v>Возможная эмоциональная причина задержки</v>
      </c>
      <c r="D6" s="1" t="s">
        <v>687</v>
      </c>
      <c r="E6" s="1"/>
      <c r="F6" s="1"/>
      <c r="G6" s="1"/>
      <c r="H6" s="1"/>
    </row>
    <row r="7" spans="1:8" ht="15" customHeight="1">
      <c r="A7" s="1" t="s">
        <v>732</v>
      </c>
      <c r="B7" s="40">
        <f>профиль!F8</f>
        <v>0</v>
      </c>
      <c r="C7" s="1" t="str">
        <f>IF(B7&lt;0.5,"Возможная адаптационная причина задержки","")</f>
        <v>Возможная адаптационная причина задержки</v>
      </c>
      <c r="D7" s="1" t="s">
        <v>733</v>
      </c>
      <c r="E7" s="1"/>
      <c r="F7" s="1"/>
      <c r="G7" s="1"/>
      <c r="H7" s="1"/>
    </row>
    <row r="8" spans="1:8">
      <c r="A8" s="1"/>
      <c r="B8" s="1"/>
      <c r="C8" s="1"/>
      <c r="D8" s="1"/>
      <c r="E8" s="1"/>
      <c r="F8" s="1"/>
      <c r="G8" s="1"/>
      <c r="H8" s="1"/>
    </row>
    <row r="9" spans="1:8" ht="15" customHeight="1">
      <c r="A9" s="41" t="s">
        <v>734</v>
      </c>
      <c r="B9" s="1"/>
      <c r="C9" s="1" t="str">
        <f>IFERROR(CONCATENATE(IF(C2&lt;&gt;"",C2&amp;"; ",""),IF(C3&lt;&gt;"",C3&amp;"; ",""),IF(C4&lt;&gt;"",C4&amp;"; ",""),IF(C5&lt;&gt;"",C5&amp;"; ",""),IF(C6&lt;&gt;"",C6&amp;"; ",""),IF(C7&lt;&gt;"",C7,"")),"")</f>
        <v>Возможная моторная причина задержки; Возможная коммуникативная причина задержки; Возможная когнитивная причина задержки; Возможная эмоциональная причина задержки; Возможная адаптационная причина задержки</v>
      </c>
      <c r="D9" s="1"/>
      <c r="E9" s="1"/>
      <c r="F9" s="1"/>
      <c r="G9" s="1"/>
      <c r="H9" s="1"/>
    </row>
    <row r="10" spans="1:8" ht="15" customHeight="1">
      <c r="A10" s="41" t="s">
        <v>735</v>
      </c>
      <c r="B10" s="1"/>
      <c r="C10" s="1" t="str">
        <f>INDEX(A2:A7,MATCH(MIN(B2:B7),B2:B7,0))</f>
        <v>Моторная</v>
      </c>
      <c r="D10" s="1"/>
      <c r="E10" s="1"/>
      <c r="F10" s="1"/>
      <c r="G10" s="1"/>
      <c r="H10" s="1"/>
    </row>
  </sheetData>
  <pageMargins left="0.75" right="0.75" top="1" bottom="1" header="0.511811023622047" footer="0.51180555555555596"/>
  <pageSetup paperSize="9" orientation="portrait" horizontalDpi="300" verticalDpi="300" r:id="rId1"/>
  <headerFooter>
    <oddFooter>&amp;C&amp;8 &amp;K888888© 2025 Rabiga Sagyndykova · LOLA System · Запрещена перепродажа и передача третьим лицам&amp;R&amp;8 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L27"/>
  <sheetViews>
    <sheetView topLeftCell="A4" zoomScaleNormal="100" workbookViewId="0">
      <selection activeCell="C4" sqref="C4"/>
    </sheetView>
  </sheetViews>
  <sheetFormatPr defaultColWidth="8.7265625" defaultRowHeight="14.5"/>
  <cols>
    <col min="1" max="1" width="9.7265625" style="17" customWidth="1"/>
    <col min="2" max="2" width="9.1796875" style="17" customWidth="1"/>
    <col min="3" max="4" width="8.81640625" style="17" customWidth="1"/>
    <col min="5" max="5" width="7" style="17" customWidth="1"/>
    <col min="6" max="6" width="8.1796875" style="17" customWidth="1"/>
    <col min="7" max="7" width="7.26953125" style="17" customWidth="1"/>
    <col min="8" max="8" width="7.7265625" style="17" customWidth="1"/>
    <col min="9" max="9" width="10.81640625" style="17" customWidth="1"/>
  </cols>
  <sheetData>
    <row r="1" spans="1:10" ht="15" customHeight="1">
      <c r="A1" s="44" t="s">
        <v>16</v>
      </c>
    </row>
    <row r="2" spans="1:10" ht="15" customHeight="1">
      <c r="A2" s="50" t="s">
        <v>17</v>
      </c>
      <c r="B2" s="48"/>
      <c r="C2" s="48"/>
      <c r="D2" s="48"/>
      <c r="E2" s="48"/>
      <c r="F2" s="48"/>
      <c r="G2" s="48"/>
      <c r="H2" s="48"/>
      <c r="I2" s="48"/>
    </row>
    <row r="3" spans="1:10" ht="15" customHeight="1">
      <c r="A3" t="s">
        <v>18</v>
      </c>
    </row>
    <row r="4" spans="1:10" ht="15" customHeight="1">
      <c r="A4" t="s">
        <v>19</v>
      </c>
    </row>
    <row r="5" spans="1:10" ht="15" customHeight="1">
      <c r="A5" t="s">
        <v>20</v>
      </c>
    </row>
    <row r="6" spans="1:10" ht="15" customHeight="1">
      <c r="A6" t="s">
        <v>21</v>
      </c>
    </row>
    <row r="7" spans="1:10" ht="15" customHeight="1">
      <c r="A7" t="s">
        <v>22</v>
      </c>
    </row>
    <row r="8" spans="1:10" ht="15" customHeight="1">
      <c r="A8" t="s">
        <v>23</v>
      </c>
    </row>
    <row r="9" spans="1:10" ht="15" customHeight="1">
      <c r="A9" t="s">
        <v>24</v>
      </c>
    </row>
    <row r="10" spans="1:10" ht="15" customHeight="1">
      <c r="A10" s="18" t="s">
        <v>25</v>
      </c>
      <c r="B10" s="18"/>
      <c r="C10" s="18"/>
      <c r="D10" s="18"/>
      <c r="E10" s="18"/>
      <c r="F10" s="18"/>
      <c r="G10" s="18"/>
      <c r="H10" s="18"/>
    </row>
    <row r="11" spans="1:10" ht="15" customHeight="1">
      <c r="A11" s="50" t="s">
        <v>26</v>
      </c>
      <c r="B11" s="48"/>
      <c r="C11" s="48"/>
      <c r="D11" s="48"/>
      <c r="E11" s="48"/>
      <c r="F11" s="48"/>
      <c r="G11" s="48"/>
      <c r="H11" s="48"/>
      <c r="I11" s="48"/>
    </row>
    <row r="12" spans="1:10" ht="26.25" customHeight="1">
      <c r="A12" s="23" t="s">
        <v>27</v>
      </c>
      <c r="B12" s="23" t="s">
        <v>28</v>
      </c>
      <c r="C12" s="23" t="s">
        <v>29</v>
      </c>
      <c r="D12" s="23" t="s">
        <v>30</v>
      </c>
      <c r="E12" s="23" t="s">
        <v>31</v>
      </c>
      <c r="F12" s="23" t="s">
        <v>32</v>
      </c>
      <c r="G12" s="23" t="s">
        <v>33</v>
      </c>
      <c r="H12" s="23" t="s">
        <v>34</v>
      </c>
      <c r="I12" s="3" t="s">
        <v>35</v>
      </c>
      <c r="J12" s="3" t="s">
        <v>36</v>
      </c>
    </row>
    <row r="13" spans="1:10" ht="15" customHeight="1">
      <c r="A13" s="42">
        <f>ПАСПОРТ!B4</f>
        <v>0</v>
      </c>
      <c r="B13" s="24">
        <f>профиль!B10</f>
        <v>0</v>
      </c>
      <c r="C13" s="24">
        <f>профиль!F2</f>
        <v>0</v>
      </c>
      <c r="D13" s="24">
        <f>профиль!F3</f>
        <v>0</v>
      </c>
      <c r="E13" s="24">
        <f>профиль!F4</f>
        <v>0</v>
      </c>
      <c r="F13" s="24">
        <f>профиль!F5</f>
        <v>0</v>
      </c>
      <c r="G13" s="24">
        <f>профиль!F6</f>
        <v>0</v>
      </c>
      <c r="H13" s="24">
        <f>профиль!F7</f>
        <v>0</v>
      </c>
      <c r="I13" s="24">
        <f>профиль!F8</f>
        <v>0</v>
      </c>
      <c r="J13">
        <v>0.9</v>
      </c>
    </row>
    <row r="14" spans="1:10" ht="15" customHeight="1">
      <c r="A14" s="42">
        <v>46125</v>
      </c>
      <c r="B14" s="24">
        <v>0.42</v>
      </c>
      <c r="C14" s="24">
        <v>0.45</v>
      </c>
      <c r="D14" s="24">
        <v>0.46</v>
      </c>
      <c r="E14" s="24">
        <v>0.44</v>
      </c>
      <c r="F14" s="24">
        <v>0.4</v>
      </c>
      <c r="G14" s="24">
        <v>0.55000000000000004</v>
      </c>
      <c r="H14" s="24">
        <v>0.42</v>
      </c>
      <c r="I14" s="24">
        <v>0.02</v>
      </c>
      <c r="J14">
        <v>0.9</v>
      </c>
    </row>
    <row r="15" spans="1:10" ht="25.5" customHeight="1">
      <c r="A15" s="43">
        <v>46208</v>
      </c>
      <c r="B15" s="25">
        <v>0.44</v>
      </c>
      <c r="C15" s="24">
        <v>0.46</v>
      </c>
      <c r="D15" s="24">
        <v>0.48</v>
      </c>
      <c r="E15" s="24">
        <v>0.46</v>
      </c>
      <c r="F15" s="24">
        <v>0.42</v>
      </c>
      <c r="G15" s="24">
        <v>0.6</v>
      </c>
      <c r="H15" s="24">
        <v>0.45</v>
      </c>
      <c r="I15" s="24">
        <v>0.08</v>
      </c>
      <c r="J15">
        <v>0.9</v>
      </c>
    </row>
    <row r="16" spans="1:10" ht="25.5" customHeight="1">
      <c r="A16" s="26" t="s">
        <v>37</v>
      </c>
      <c r="B16" s="27">
        <f>B15-B13</f>
        <v>0.44</v>
      </c>
      <c r="C16" s="16"/>
      <c r="D16" s="16"/>
      <c r="E16" s="16"/>
      <c r="F16" s="16"/>
      <c r="G16" s="16"/>
      <c r="H16" s="16"/>
      <c r="I16" s="16"/>
    </row>
    <row r="17" spans="1:12" ht="15" customHeight="1">
      <c r="A17" s="28" t="s">
        <v>38</v>
      </c>
      <c r="B17" s="16" t="str">
        <f>IF(B16&gt;0,"Наблюдается положительная динамика",IF(B16=0,"Динамика не выявлена","Возможен регресс — рекомендуется повторная оценка"))</f>
        <v>Наблюдается положительная динамика</v>
      </c>
      <c r="C17" s="16"/>
      <c r="D17" s="16"/>
      <c r="E17" s="16"/>
      <c r="F17" s="16"/>
      <c r="G17" s="16"/>
      <c r="H17" s="16"/>
      <c r="I17" s="16"/>
      <c r="L17" s="18"/>
    </row>
    <row r="18" spans="1:12" ht="15" customHeight="1">
      <c r="A18" s="28" t="s">
        <v>39</v>
      </c>
      <c r="B18" s="16"/>
      <c r="C18" s="16"/>
      <c r="D18" s="16"/>
      <c r="E18" s="16"/>
      <c r="F18" s="16"/>
      <c r="G18" s="16"/>
      <c r="H18" s="16"/>
      <c r="I18" s="16"/>
    </row>
    <row r="19" spans="1:12" ht="15" customHeight="1">
      <c r="A19" s="28"/>
      <c r="B19" s="16"/>
      <c r="C19" s="16"/>
      <c r="D19" s="16"/>
      <c r="E19" s="16"/>
      <c r="F19" s="16"/>
      <c r="G19" s="16"/>
      <c r="H19" s="16"/>
      <c r="I19" s="16"/>
    </row>
    <row r="20" spans="1:12" ht="21.75" customHeight="1">
      <c r="A20" s="51" t="s">
        <v>40</v>
      </c>
      <c r="B20" s="48"/>
      <c r="C20" s="48"/>
      <c r="D20" s="48"/>
      <c r="E20" s="23"/>
      <c r="F20" s="23"/>
      <c r="G20" s="16"/>
      <c r="H20" s="16"/>
      <c r="I20" s="16"/>
    </row>
    <row r="21" spans="1:12" ht="15" customHeight="1">
      <c r="A21" s="49" t="s">
        <v>41</v>
      </c>
      <c r="B21" s="48"/>
      <c r="C21" s="48"/>
      <c r="D21" s="48"/>
      <c r="E21" s="16"/>
      <c r="F21" s="16"/>
      <c r="G21" s="16"/>
      <c r="H21" s="16"/>
      <c r="I21" s="16"/>
    </row>
    <row r="22" spans="1:12" ht="15" customHeight="1">
      <c r="A22" s="49" t="s">
        <v>42</v>
      </c>
      <c r="B22" s="48"/>
      <c r="C22" s="48"/>
      <c r="D22" s="48"/>
      <c r="E22" s="16"/>
      <c r="F22" s="16"/>
      <c r="G22" s="16"/>
      <c r="H22" s="16"/>
      <c r="I22" s="16"/>
    </row>
    <row r="23" spans="1:12" ht="15" customHeight="1">
      <c r="A23" s="49" t="s">
        <v>43</v>
      </c>
      <c r="B23" s="48"/>
      <c r="C23" s="48"/>
      <c r="D23" s="48"/>
      <c r="E23" s="16"/>
      <c r="F23" s="16"/>
      <c r="G23" s="16"/>
      <c r="H23" s="16"/>
      <c r="I23" s="16"/>
    </row>
    <row r="24" spans="1:12" ht="15" customHeight="1">
      <c r="A24" s="49" t="s">
        <v>44</v>
      </c>
      <c r="B24" s="48"/>
      <c r="C24" s="48"/>
      <c r="D24" s="48"/>
      <c r="E24" s="16"/>
      <c r="F24" s="16"/>
      <c r="G24" s="16"/>
      <c r="H24" s="16"/>
      <c r="I24" s="16"/>
    </row>
    <row r="25" spans="1:12" ht="15" customHeight="1">
      <c r="B25" s="16"/>
      <c r="C25" s="16"/>
      <c r="D25" s="16"/>
      <c r="E25" s="16"/>
      <c r="F25" s="16"/>
      <c r="G25" s="16"/>
      <c r="H25" s="16"/>
      <c r="I25" s="16"/>
    </row>
    <row r="26" spans="1:12" ht="15" customHeight="1">
      <c r="B26" s="16"/>
      <c r="C26" s="16"/>
      <c r="D26" s="16"/>
      <c r="E26" s="16"/>
      <c r="F26" s="16"/>
      <c r="G26" s="16"/>
      <c r="H26" s="16"/>
      <c r="I26" s="16"/>
    </row>
    <row r="27" spans="1:12" ht="15" customHeight="1">
      <c r="B27" s="16"/>
      <c r="C27" s="16"/>
      <c r="D27" s="16"/>
      <c r="E27" s="16"/>
      <c r="F27" s="16"/>
      <c r="G27" s="16"/>
      <c r="H27" s="16"/>
      <c r="I27" s="16"/>
    </row>
  </sheetData>
  <mergeCells count="7">
    <mergeCell ref="A24:D24"/>
    <mergeCell ref="A23:D23"/>
    <mergeCell ref="A2:I2"/>
    <mergeCell ref="A11:I11"/>
    <mergeCell ref="A22:D22"/>
    <mergeCell ref="A20:D20"/>
    <mergeCell ref="A21:D21"/>
  </mergeCells>
  <pageMargins left="0.75" right="0.75" top="1" bottom="1" header="0.511811023622047" footer="0.51180555555555596"/>
  <pageSetup paperSize="9" orientation="portrait" horizontalDpi="300" verticalDpi="300"/>
  <headerFooter>
    <oddFooter>&amp;C&amp;8 &amp;K888888© 2025 Rabiga Sagyndykova · LOLA System · Запрещена перепродажа и передача третьим лицам&amp;R&amp;8 Стр.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D7D1A"/>
  </sheetPr>
  <dimension ref="A2:D9"/>
  <sheetViews>
    <sheetView tabSelected="1" zoomScaleNormal="100" workbookViewId="0">
      <selection activeCell="B2" sqref="B2"/>
    </sheetView>
  </sheetViews>
  <sheetFormatPr defaultColWidth="8.7265625" defaultRowHeight="14.5"/>
  <cols>
    <col min="1" max="1" width="20.453125" style="17" customWidth="1"/>
    <col min="2" max="2" width="18.7265625" style="17" customWidth="1"/>
  </cols>
  <sheetData>
    <row r="2" spans="1:4" ht="15" customHeight="1">
      <c r="A2" s="1" t="s">
        <v>45</v>
      </c>
      <c r="B2" s="105"/>
      <c r="D2" s="2"/>
    </row>
    <row r="3" spans="1:4" ht="15" customHeight="1">
      <c r="A3" s="1" t="s">
        <v>46</v>
      </c>
      <c r="B3" s="106"/>
    </row>
    <row r="4" spans="1:4" ht="15" customHeight="1">
      <c r="A4" s="1" t="s">
        <v>47</v>
      </c>
      <c r="B4" s="107"/>
    </row>
    <row r="5" spans="1:4" ht="26.25" customHeight="1">
      <c r="A5" s="3" t="s">
        <v>48</v>
      </c>
      <c r="B5" s="108">
        <f>(B4-B3)/30.437</f>
        <v>0</v>
      </c>
    </row>
    <row r="8" spans="1:4" ht="19.5" customHeight="1">
      <c r="A8" s="109" t="s">
        <v>49</v>
      </c>
      <c r="B8" s="110" t="s">
        <v>50</v>
      </c>
    </row>
    <row r="9" spans="1:4">
      <c r="A9" s="111" t="s">
        <v>51</v>
      </c>
      <c r="B9" s="66"/>
    </row>
  </sheetData>
  <sheetProtection algorithmName="SHA-512" hashValue="yYoBmb/2KudYdTk37dMEZxtMcLDaXoUSyR0zk7TICbU7CrbytvnKc5JFGc8vIDi0h+aFkc7b++zjJWr4rC6DOA==" saltValue="XveUXngmFtPoHsqm/jB8zg==" spinCount="100000" sheet="1" objects="1" scenarios="1" selectLockedCells="1"/>
  <dataValidations count="1">
    <dataValidation type="list" showInputMessage="1" showErrorMessage="1" errorTitle="Неверное значение" error="Выберите из списка: Нормативный или Терапевтический" promptTitle="Режим оценки" prompt="Нормативный — для типично развивающихся детей_x000a_Терапевтический — для детей с ОВЗ, ДЦП, РАС" sqref="B8" xr:uid="{00000000-0002-0000-0200-000000000000}">
      <formula1>"Нормативный,Терапевтический"</formula1>
      <formula2>0</formula2>
    </dataValidation>
  </dataValidations>
  <pageMargins left="0.75" right="0.75" top="1" bottom="1" header="0.511811023622047" footer="0.51180555555555596"/>
  <pageSetup paperSize="9" orientation="portrait" horizontalDpi="300" verticalDpi="300"/>
  <headerFooter>
    <oddFooter>&amp;C&amp;8 &amp;K888888© 2025 Rabiga Sagyndykova · LOLA System · Запрещена перепродажа и передача третьим лицам&amp;R&amp;8 Стр. &amp;P из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39997558519241921"/>
  </sheetPr>
  <dimension ref="A1:H68"/>
  <sheetViews>
    <sheetView topLeftCell="A52" zoomScaleNormal="100" workbookViewId="0">
      <selection activeCell="I63" sqref="I63"/>
    </sheetView>
  </sheetViews>
  <sheetFormatPr defaultColWidth="9.1796875" defaultRowHeight="14.5"/>
  <cols>
    <col min="1" max="1" width="9.81640625" style="4" customWidth="1"/>
    <col min="2" max="2" width="32.1796875" style="4" customWidth="1"/>
    <col min="3" max="3" width="11.81640625" style="5" customWidth="1"/>
    <col min="4" max="4" width="7" style="4" customWidth="1"/>
    <col min="5" max="5" width="9.81640625" style="4" customWidth="1"/>
    <col min="6" max="6" width="7.54296875" style="4" customWidth="1"/>
    <col min="7" max="7" width="8" style="4" customWidth="1"/>
    <col min="8" max="8" width="17.26953125" style="4" customWidth="1"/>
    <col min="9" max="9" width="9.1796875" style="4" customWidth="1"/>
    <col min="10" max="16384" width="9.1796875" style="4"/>
  </cols>
  <sheetData>
    <row r="1" spans="1:8" ht="15" customHeight="1">
      <c r="A1" s="56" t="s">
        <v>52</v>
      </c>
      <c r="B1" s="53"/>
      <c r="C1" s="54"/>
      <c r="D1" s="53"/>
      <c r="E1" s="53"/>
      <c r="F1" s="53"/>
    </row>
    <row r="2" spans="1:8" ht="15" customHeight="1">
      <c r="A2" s="52" t="s">
        <v>53</v>
      </c>
      <c r="B2" s="53"/>
      <c r="C2" s="54"/>
      <c r="D2" s="53"/>
      <c r="E2" s="53"/>
      <c r="F2" s="53"/>
    </row>
    <row r="3" spans="1:8" ht="15" customHeight="1">
      <c r="A3" s="60" t="s">
        <v>54</v>
      </c>
      <c r="B3" s="53"/>
      <c r="C3" s="54"/>
      <c r="D3" s="53"/>
      <c r="E3" s="53"/>
      <c r="F3" s="53"/>
    </row>
    <row r="4" spans="1:8" ht="15" customHeight="1">
      <c r="A4" s="57" t="s">
        <v>55</v>
      </c>
      <c r="B4" s="53"/>
      <c r="C4" s="54"/>
      <c r="D4" s="53"/>
      <c r="E4" s="53"/>
      <c r="F4" s="53"/>
    </row>
    <row r="5" spans="1:8" ht="15" customHeight="1">
      <c r="A5" s="57" t="s">
        <v>56</v>
      </c>
      <c r="B5" s="53"/>
      <c r="C5" s="54"/>
      <c r="D5" s="53"/>
      <c r="E5" s="53"/>
      <c r="F5" s="53"/>
    </row>
    <row r="6" spans="1:8" ht="15" customHeight="1">
      <c r="A6" s="57" t="s">
        <v>57</v>
      </c>
      <c r="B6" s="53"/>
      <c r="C6" s="54"/>
      <c r="D6" s="53"/>
      <c r="E6" s="53"/>
      <c r="F6" s="53"/>
    </row>
    <row r="7" spans="1:8" ht="16.5" customHeight="1">
      <c r="A7" s="61" t="s">
        <v>58</v>
      </c>
      <c r="B7" s="53"/>
      <c r="C7" s="54"/>
      <c r="D7" s="53"/>
      <c r="E7" s="53"/>
      <c r="F7" s="53"/>
    </row>
    <row r="8" spans="1:8" ht="30" customHeight="1">
      <c r="A8" s="6" t="s">
        <v>59</v>
      </c>
      <c r="B8" s="6" t="s">
        <v>60</v>
      </c>
      <c r="C8" s="6" t="s">
        <v>61</v>
      </c>
      <c r="D8" s="6" t="s">
        <v>62</v>
      </c>
      <c r="E8" s="6" t="s">
        <v>63</v>
      </c>
      <c r="F8" s="6" t="s">
        <v>64</v>
      </c>
      <c r="G8" s="6" t="s">
        <v>65</v>
      </c>
      <c r="H8" s="7" t="s">
        <v>66</v>
      </c>
    </row>
    <row r="9" spans="1:8" ht="14.25" customHeight="1">
      <c r="A9" s="58" t="s">
        <v>67</v>
      </c>
      <c r="B9" s="53"/>
      <c r="C9" s="54"/>
      <c r="D9" s="53"/>
      <c r="E9" s="53"/>
      <c r="F9" s="53"/>
      <c r="G9" s="46"/>
    </row>
    <row r="10" spans="1:8" ht="15" customHeight="1">
      <c r="A10" s="46" t="s">
        <v>29</v>
      </c>
      <c r="B10" s="46" t="s">
        <v>68</v>
      </c>
      <c r="C10" s="8" t="s">
        <v>69</v>
      </c>
      <c r="D10" s="47"/>
      <c r="E10" s="12">
        <f t="shared" ref="E10:E22" si="0">D10/2*100</f>
        <v>0</v>
      </c>
      <c r="F10" s="12">
        <f t="shared" ref="F10:F22" si="1">IF(E10&gt;=80,1,0)</f>
        <v>0</v>
      </c>
      <c r="G10" s="12">
        <f t="shared" ref="G10:G22" si="2">AVERAGE(VALUE(LEFT(C10,FIND("-",C10)-1)),VALUE(RIGHT(C10,LEN(C10)-FIND("-",C10))))</f>
        <v>2.5</v>
      </c>
      <c r="H10" s="9" t="s">
        <v>70</v>
      </c>
    </row>
    <row r="11" spans="1:8" ht="15" customHeight="1">
      <c r="A11" s="46" t="s">
        <v>29</v>
      </c>
      <c r="B11" s="46" t="s">
        <v>71</v>
      </c>
      <c r="C11" s="8" t="s">
        <v>69</v>
      </c>
      <c r="D11" s="47"/>
      <c r="E11" s="12">
        <f t="shared" si="0"/>
        <v>0</v>
      </c>
      <c r="F11" s="12">
        <f t="shared" si="1"/>
        <v>0</v>
      </c>
      <c r="G11" s="12">
        <f t="shared" si="2"/>
        <v>2.5</v>
      </c>
      <c r="H11" s="10" t="s">
        <v>72</v>
      </c>
    </row>
    <row r="12" spans="1:8" ht="15" customHeight="1">
      <c r="A12" s="46" t="s">
        <v>29</v>
      </c>
      <c r="B12" s="46" t="s">
        <v>73</v>
      </c>
      <c r="C12" s="8" t="s">
        <v>74</v>
      </c>
      <c r="D12" s="47"/>
      <c r="E12" s="12">
        <f t="shared" si="0"/>
        <v>0</v>
      </c>
      <c r="F12" s="12">
        <f t="shared" si="1"/>
        <v>0</v>
      </c>
      <c r="G12" s="12">
        <f t="shared" si="2"/>
        <v>3.5</v>
      </c>
      <c r="H12" s="9" t="s">
        <v>75</v>
      </c>
    </row>
    <row r="13" spans="1:8" ht="15" customHeight="1">
      <c r="A13" s="46" t="s">
        <v>29</v>
      </c>
      <c r="B13" s="46" t="s">
        <v>76</v>
      </c>
      <c r="C13" s="8" t="s">
        <v>77</v>
      </c>
      <c r="D13" s="47"/>
      <c r="E13" s="12">
        <f t="shared" si="0"/>
        <v>0</v>
      </c>
      <c r="F13" s="12">
        <f t="shared" si="1"/>
        <v>0</v>
      </c>
      <c r="G13" s="12">
        <f t="shared" si="2"/>
        <v>4.5</v>
      </c>
      <c r="H13" s="10" t="s">
        <v>78</v>
      </c>
    </row>
    <row r="14" spans="1:8" ht="15" customHeight="1">
      <c r="A14" s="46" t="s">
        <v>29</v>
      </c>
      <c r="B14" s="46" t="s">
        <v>79</v>
      </c>
      <c r="C14" s="8" t="s">
        <v>74</v>
      </c>
      <c r="D14" s="47"/>
      <c r="E14" s="12">
        <f t="shared" si="0"/>
        <v>0</v>
      </c>
      <c r="F14" s="12">
        <f t="shared" si="1"/>
        <v>0</v>
      </c>
      <c r="G14" s="12">
        <f t="shared" si="2"/>
        <v>3.5</v>
      </c>
      <c r="H14" s="11" t="s">
        <v>80</v>
      </c>
    </row>
    <row r="15" spans="1:8" ht="15" customHeight="1">
      <c r="A15" s="46" t="s">
        <v>29</v>
      </c>
      <c r="B15" s="46" t="s">
        <v>81</v>
      </c>
      <c r="C15" s="8" t="s">
        <v>82</v>
      </c>
      <c r="D15" s="47"/>
      <c r="E15" s="12">
        <f t="shared" si="0"/>
        <v>0</v>
      </c>
      <c r="F15" s="12">
        <f t="shared" si="1"/>
        <v>0</v>
      </c>
      <c r="G15" s="12">
        <f t="shared" si="2"/>
        <v>5.5</v>
      </c>
      <c r="H15" s="9" t="s">
        <v>83</v>
      </c>
    </row>
    <row r="16" spans="1:8" ht="15" customHeight="1">
      <c r="A16" s="46" t="s">
        <v>29</v>
      </c>
      <c r="B16" s="46" t="s">
        <v>84</v>
      </c>
      <c r="C16" s="8" t="s">
        <v>85</v>
      </c>
      <c r="D16" s="47"/>
      <c r="E16" s="12">
        <f t="shared" si="0"/>
        <v>0</v>
      </c>
      <c r="F16" s="12">
        <f t="shared" si="1"/>
        <v>0</v>
      </c>
      <c r="G16" s="12">
        <f t="shared" si="2"/>
        <v>6.5</v>
      </c>
      <c r="H16" s="9" t="s">
        <v>86</v>
      </c>
    </row>
    <row r="17" spans="1:8" ht="15" customHeight="1">
      <c r="A17" s="46" t="s">
        <v>29</v>
      </c>
      <c r="B17" s="46" t="s">
        <v>87</v>
      </c>
      <c r="C17" s="8" t="s">
        <v>88</v>
      </c>
      <c r="D17" s="47"/>
      <c r="E17" s="12">
        <f t="shared" si="0"/>
        <v>0</v>
      </c>
      <c r="F17" s="12">
        <f t="shared" si="1"/>
        <v>0</v>
      </c>
      <c r="G17" s="12">
        <f t="shared" si="2"/>
        <v>8</v>
      </c>
      <c r="H17" s="9" t="s">
        <v>89</v>
      </c>
    </row>
    <row r="18" spans="1:8" ht="15" customHeight="1">
      <c r="A18" s="46" t="s">
        <v>29</v>
      </c>
      <c r="B18" s="46" t="s">
        <v>90</v>
      </c>
      <c r="C18" s="8" t="s">
        <v>91</v>
      </c>
      <c r="D18" s="47"/>
      <c r="E18" s="12">
        <f t="shared" si="0"/>
        <v>0</v>
      </c>
      <c r="F18" s="12">
        <f t="shared" si="1"/>
        <v>0</v>
      </c>
      <c r="G18" s="12">
        <f t="shared" si="2"/>
        <v>7</v>
      </c>
      <c r="H18" s="9" t="s">
        <v>92</v>
      </c>
    </row>
    <row r="19" spans="1:8" ht="15" customHeight="1">
      <c r="A19" s="46" t="s">
        <v>29</v>
      </c>
      <c r="B19" s="46" t="s">
        <v>93</v>
      </c>
      <c r="C19" s="8" t="s">
        <v>94</v>
      </c>
      <c r="D19" s="47"/>
      <c r="E19" s="12">
        <f t="shared" si="0"/>
        <v>0</v>
      </c>
      <c r="F19" s="12">
        <f t="shared" si="1"/>
        <v>0</v>
      </c>
      <c r="G19" s="12">
        <f t="shared" si="2"/>
        <v>8.5</v>
      </c>
      <c r="H19" s="9" t="s">
        <v>95</v>
      </c>
    </row>
    <row r="20" spans="1:8" ht="15" customHeight="1">
      <c r="A20" s="46" t="s">
        <v>29</v>
      </c>
      <c r="B20" s="46" t="s">
        <v>96</v>
      </c>
      <c r="C20" s="8" t="s">
        <v>97</v>
      </c>
      <c r="D20" s="47"/>
      <c r="E20" s="12">
        <f t="shared" si="0"/>
        <v>0</v>
      </c>
      <c r="F20" s="12">
        <f t="shared" si="1"/>
        <v>0</v>
      </c>
      <c r="G20" s="12">
        <f t="shared" si="2"/>
        <v>10</v>
      </c>
      <c r="H20" s="9" t="s">
        <v>98</v>
      </c>
    </row>
    <row r="21" spans="1:8" ht="15" customHeight="1">
      <c r="A21" s="46" t="s">
        <v>29</v>
      </c>
      <c r="B21" s="46" t="s">
        <v>99</v>
      </c>
      <c r="C21" s="8" t="s">
        <v>100</v>
      </c>
      <c r="D21" s="47"/>
      <c r="E21" s="12">
        <f t="shared" si="0"/>
        <v>0</v>
      </c>
      <c r="F21" s="12">
        <f t="shared" si="1"/>
        <v>0</v>
      </c>
      <c r="G21" s="12">
        <f t="shared" si="2"/>
        <v>10.5</v>
      </c>
      <c r="H21" s="9" t="s">
        <v>101</v>
      </c>
    </row>
    <row r="22" spans="1:8" ht="15" customHeight="1">
      <c r="A22" s="46" t="s">
        <v>29</v>
      </c>
      <c r="B22" s="46" t="s">
        <v>102</v>
      </c>
      <c r="C22" s="8" t="s">
        <v>103</v>
      </c>
      <c r="D22" s="47"/>
      <c r="E22" s="12">
        <f t="shared" si="0"/>
        <v>0</v>
      </c>
      <c r="F22" s="12">
        <f t="shared" si="1"/>
        <v>0</v>
      </c>
      <c r="G22" s="12">
        <f t="shared" si="2"/>
        <v>12</v>
      </c>
      <c r="H22" s="9" t="s">
        <v>104</v>
      </c>
    </row>
    <row r="23" spans="1:8" ht="15" customHeight="1">
      <c r="A23" s="55" t="s">
        <v>105</v>
      </c>
      <c r="B23" s="53"/>
      <c r="C23" s="54"/>
      <c r="D23" s="53"/>
      <c r="E23" s="53"/>
      <c r="F23" s="53"/>
      <c r="G23" s="46"/>
    </row>
    <row r="24" spans="1:8" ht="15" customHeight="1">
      <c r="A24" s="46" t="s">
        <v>106</v>
      </c>
      <c r="B24" s="46" t="s">
        <v>107</v>
      </c>
      <c r="C24" s="8" t="s">
        <v>69</v>
      </c>
      <c r="D24" s="47"/>
      <c r="E24" s="12">
        <f t="shared" ref="E24:E31" si="3">D24/2*100</f>
        <v>0</v>
      </c>
      <c r="F24" s="12">
        <f t="shared" ref="F24:F31" si="4">IF(E24&gt;=80,1,0)</f>
        <v>0</v>
      </c>
      <c r="G24" s="12">
        <f t="shared" ref="G24:G31" si="5">AVERAGE(VALUE(LEFT(C24,FIND("-",C24)-1)),VALUE(RIGHT(C24,LEN(C24)-FIND("-",C24))))</f>
        <v>2.5</v>
      </c>
      <c r="H24" s="9" t="s">
        <v>108</v>
      </c>
    </row>
    <row r="25" spans="1:8" ht="15" customHeight="1">
      <c r="A25" s="46" t="s">
        <v>106</v>
      </c>
      <c r="B25" s="46" t="s">
        <v>109</v>
      </c>
      <c r="C25" s="8" t="s">
        <v>74</v>
      </c>
      <c r="D25" s="47"/>
      <c r="E25" s="12">
        <f t="shared" si="3"/>
        <v>0</v>
      </c>
      <c r="F25" s="12">
        <f t="shared" si="4"/>
        <v>0</v>
      </c>
      <c r="G25" s="12">
        <f t="shared" si="5"/>
        <v>3.5</v>
      </c>
      <c r="H25" s="9" t="s">
        <v>110</v>
      </c>
    </row>
    <row r="26" spans="1:8" ht="15" customHeight="1">
      <c r="A26" s="46" t="s">
        <v>106</v>
      </c>
      <c r="B26" s="46" t="s">
        <v>111</v>
      </c>
      <c r="C26" s="8" t="s">
        <v>74</v>
      </c>
      <c r="D26" s="47"/>
      <c r="E26" s="12">
        <f t="shared" si="3"/>
        <v>0</v>
      </c>
      <c r="F26" s="12">
        <f t="shared" si="4"/>
        <v>0</v>
      </c>
      <c r="G26" s="12">
        <f t="shared" si="5"/>
        <v>3.5</v>
      </c>
      <c r="H26" s="9" t="s">
        <v>112</v>
      </c>
    </row>
    <row r="27" spans="1:8" ht="15" customHeight="1">
      <c r="A27" s="46" t="s">
        <v>106</v>
      </c>
      <c r="B27" s="46" t="s">
        <v>113</v>
      </c>
      <c r="C27" s="8" t="s">
        <v>77</v>
      </c>
      <c r="D27" s="47"/>
      <c r="E27" s="12">
        <f t="shared" si="3"/>
        <v>0</v>
      </c>
      <c r="F27" s="12">
        <f t="shared" si="4"/>
        <v>0</v>
      </c>
      <c r="G27" s="12">
        <f t="shared" si="5"/>
        <v>4.5</v>
      </c>
      <c r="H27" s="9" t="s">
        <v>114</v>
      </c>
    </row>
    <row r="28" spans="1:8" ht="15" customHeight="1">
      <c r="A28" s="46" t="s">
        <v>106</v>
      </c>
      <c r="B28" s="46" t="s">
        <v>115</v>
      </c>
      <c r="C28" s="8" t="s">
        <v>85</v>
      </c>
      <c r="D28" s="47"/>
      <c r="E28" s="12">
        <f t="shared" si="3"/>
        <v>0</v>
      </c>
      <c r="F28" s="12">
        <f t="shared" si="4"/>
        <v>0</v>
      </c>
      <c r="G28" s="12">
        <f t="shared" si="5"/>
        <v>6.5</v>
      </c>
      <c r="H28" s="9" t="s">
        <v>116</v>
      </c>
    </row>
    <row r="29" spans="1:8" ht="15" customHeight="1">
      <c r="A29" s="46" t="s">
        <v>106</v>
      </c>
      <c r="B29" s="46" t="s">
        <v>117</v>
      </c>
      <c r="C29" s="8" t="s">
        <v>91</v>
      </c>
      <c r="D29" s="47"/>
      <c r="E29" s="12">
        <f t="shared" si="3"/>
        <v>0</v>
      </c>
      <c r="F29" s="12">
        <f t="shared" si="4"/>
        <v>0</v>
      </c>
      <c r="G29" s="12">
        <f t="shared" si="5"/>
        <v>7</v>
      </c>
      <c r="H29" s="9" t="s">
        <v>118</v>
      </c>
    </row>
    <row r="30" spans="1:8" ht="15" customHeight="1">
      <c r="A30" s="46" t="s">
        <v>106</v>
      </c>
      <c r="B30" s="46" t="s">
        <v>119</v>
      </c>
      <c r="C30" s="8" t="s">
        <v>120</v>
      </c>
      <c r="D30" s="47"/>
      <c r="E30" s="12">
        <f t="shared" si="3"/>
        <v>0</v>
      </c>
      <c r="F30" s="12">
        <f t="shared" si="4"/>
        <v>0</v>
      </c>
      <c r="G30" s="12">
        <f t="shared" si="5"/>
        <v>9.5</v>
      </c>
      <c r="H30" s="9" t="s">
        <v>121</v>
      </c>
    </row>
    <row r="31" spans="1:8" ht="15" customHeight="1">
      <c r="A31" s="46" t="s">
        <v>106</v>
      </c>
      <c r="B31" s="46" t="s">
        <v>122</v>
      </c>
      <c r="C31" s="8" t="s">
        <v>123</v>
      </c>
      <c r="D31" s="47"/>
      <c r="E31" s="12">
        <f t="shared" si="3"/>
        <v>0</v>
      </c>
      <c r="F31" s="12">
        <f t="shared" si="4"/>
        <v>0</v>
      </c>
      <c r="G31" s="12">
        <f t="shared" si="5"/>
        <v>11</v>
      </c>
      <c r="H31" s="9" t="s">
        <v>124</v>
      </c>
    </row>
    <row r="32" spans="1:8" ht="15" customHeight="1">
      <c r="A32" s="59" t="s">
        <v>125</v>
      </c>
      <c r="B32" s="53"/>
      <c r="C32" s="54"/>
      <c r="D32" s="53"/>
      <c r="E32" s="53"/>
      <c r="F32" s="53"/>
      <c r="G32" s="46"/>
    </row>
    <row r="33" spans="1:8" ht="15" customHeight="1">
      <c r="A33" s="46" t="s">
        <v>126</v>
      </c>
      <c r="B33" s="46" t="s">
        <v>127</v>
      </c>
      <c r="C33" s="8" t="s">
        <v>128</v>
      </c>
      <c r="D33" s="47"/>
      <c r="E33" s="12">
        <f t="shared" ref="E33:E39" si="6">D33/2*100</f>
        <v>0</v>
      </c>
      <c r="F33" s="12">
        <f t="shared" ref="F33:F39" si="7">IF(E33&gt;=80,1,0)</f>
        <v>0</v>
      </c>
      <c r="G33" s="12">
        <f t="shared" ref="G33:G39" si="8">AVERAGE(VALUE(LEFT(C33,FIND("-",C33)-1)),VALUE(RIGHT(C33,LEN(C33)-FIND("-",C33))))</f>
        <v>1.5</v>
      </c>
      <c r="H33" s="9" t="s">
        <v>129</v>
      </c>
    </row>
    <row r="34" spans="1:8" ht="15" customHeight="1">
      <c r="A34" s="46" t="s">
        <v>126</v>
      </c>
      <c r="B34" s="46" t="s">
        <v>130</v>
      </c>
      <c r="C34" s="8" t="s">
        <v>69</v>
      </c>
      <c r="D34" s="47"/>
      <c r="E34" s="12">
        <f t="shared" si="6"/>
        <v>0</v>
      </c>
      <c r="F34" s="12">
        <f t="shared" si="7"/>
        <v>0</v>
      </c>
      <c r="G34" s="12">
        <f t="shared" si="8"/>
        <v>2.5</v>
      </c>
      <c r="H34" s="9" t="s">
        <v>131</v>
      </c>
    </row>
    <row r="35" spans="1:8" ht="15" customHeight="1">
      <c r="A35" s="46" t="s">
        <v>126</v>
      </c>
      <c r="B35" s="46" t="s">
        <v>132</v>
      </c>
      <c r="C35" s="8" t="s">
        <v>128</v>
      </c>
      <c r="D35" s="47"/>
      <c r="E35" s="12">
        <f t="shared" si="6"/>
        <v>0</v>
      </c>
      <c r="F35" s="12">
        <f t="shared" si="7"/>
        <v>0</v>
      </c>
      <c r="G35" s="12">
        <f t="shared" si="8"/>
        <v>1.5</v>
      </c>
      <c r="H35" s="9" t="s">
        <v>133</v>
      </c>
    </row>
    <row r="36" spans="1:8" ht="15" customHeight="1">
      <c r="A36" s="46" t="s">
        <v>126</v>
      </c>
      <c r="B36" s="46" t="s">
        <v>134</v>
      </c>
      <c r="C36" s="8" t="s">
        <v>74</v>
      </c>
      <c r="D36" s="47"/>
      <c r="E36" s="12">
        <f t="shared" si="6"/>
        <v>0</v>
      </c>
      <c r="F36" s="12">
        <f t="shared" si="7"/>
        <v>0</v>
      </c>
      <c r="G36" s="12">
        <f t="shared" si="8"/>
        <v>3.5</v>
      </c>
      <c r="H36" s="9" t="s">
        <v>135</v>
      </c>
    </row>
    <row r="37" spans="1:8" ht="15" customHeight="1">
      <c r="A37" s="46" t="s">
        <v>126</v>
      </c>
      <c r="B37" s="46" t="s">
        <v>136</v>
      </c>
      <c r="C37" s="8" t="s">
        <v>74</v>
      </c>
      <c r="D37" s="47"/>
      <c r="E37" s="12">
        <f t="shared" si="6"/>
        <v>0</v>
      </c>
      <c r="F37" s="12">
        <f t="shared" si="7"/>
        <v>0</v>
      </c>
      <c r="G37" s="12">
        <f t="shared" si="8"/>
        <v>3.5</v>
      </c>
      <c r="H37" s="9" t="s">
        <v>137</v>
      </c>
    </row>
    <row r="38" spans="1:8" ht="15" customHeight="1">
      <c r="A38" s="46" t="s">
        <v>126</v>
      </c>
      <c r="B38" s="46" t="s">
        <v>138</v>
      </c>
      <c r="C38" s="8" t="s">
        <v>139</v>
      </c>
      <c r="D38" s="47"/>
      <c r="E38" s="12">
        <f t="shared" si="6"/>
        <v>0</v>
      </c>
      <c r="F38" s="12">
        <f t="shared" si="7"/>
        <v>0</v>
      </c>
      <c r="G38" s="12">
        <f t="shared" si="8"/>
        <v>5</v>
      </c>
      <c r="H38" s="9" t="s">
        <v>140</v>
      </c>
    </row>
    <row r="39" spans="1:8" ht="15" customHeight="1">
      <c r="A39" s="46" t="s">
        <v>126</v>
      </c>
      <c r="B39" s="46" t="s">
        <v>141</v>
      </c>
      <c r="C39" s="8" t="s">
        <v>142</v>
      </c>
      <c r="D39" s="47"/>
      <c r="E39" s="12">
        <f t="shared" si="6"/>
        <v>0</v>
      </c>
      <c r="F39" s="12">
        <f t="shared" si="7"/>
        <v>0</v>
      </c>
      <c r="G39" s="12">
        <f t="shared" si="8"/>
        <v>7.5</v>
      </c>
      <c r="H39" s="9" t="s">
        <v>143</v>
      </c>
    </row>
    <row r="40" spans="1:8" ht="15" customHeight="1">
      <c r="A40" s="55" t="s">
        <v>144</v>
      </c>
      <c r="B40" s="53"/>
      <c r="C40" s="54"/>
      <c r="D40" s="53"/>
      <c r="E40" s="53"/>
      <c r="F40" s="53"/>
      <c r="G40" s="46"/>
    </row>
    <row r="41" spans="1:8" ht="15" customHeight="1">
      <c r="A41" s="46" t="s">
        <v>31</v>
      </c>
      <c r="B41" s="46" t="s">
        <v>145</v>
      </c>
      <c r="C41" s="112" t="s">
        <v>69</v>
      </c>
      <c r="D41" s="47"/>
      <c r="E41" s="12">
        <f t="shared" ref="E41:E48" si="9">D41/2*100</f>
        <v>0</v>
      </c>
      <c r="F41" s="12">
        <f t="shared" ref="F41:F48" si="10">IF(E41&gt;=80,1,0)</f>
        <v>0</v>
      </c>
      <c r="G41" s="12">
        <f t="shared" ref="G41:G48" si="11">AVERAGE(VALUE(LEFT(C41,FIND("-",C41)-1)),VALUE(RIGHT(C41,LEN(C41)-FIND("-",C41))))</f>
        <v>2.5</v>
      </c>
      <c r="H41" s="9" t="s">
        <v>146</v>
      </c>
    </row>
    <row r="42" spans="1:8" ht="15" customHeight="1">
      <c r="A42" s="46" t="s">
        <v>31</v>
      </c>
      <c r="B42" s="46" t="s">
        <v>147</v>
      </c>
      <c r="C42" s="112" t="s">
        <v>82</v>
      </c>
      <c r="D42" s="47"/>
      <c r="E42" s="12">
        <f t="shared" si="9"/>
        <v>0</v>
      </c>
      <c r="F42" s="12">
        <f t="shared" si="10"/>
        <v>0</v>
      </c>
      <c r="G42" s="12">
        <f t="shared" si="11"/>
        <v>5.5</v>
      </c>
      <c r="H42" s="9" t="s">
        <v>148</v>
      </c>
    </row>
    <row r="43" spans="1:8" ht="15" customHeight="1">
      <c r="A43" s="46" t="s">
        <v>31</v>
      </c>
      <c r="B43" s="46" t="s">
        <v>149</v>
      </c>
      <c r="C43" s="112" t="s">
        <v>85</v>
      </c>
      <c r="D43" s="47"/>
      <c r="E43" s="12">
        <f t="shared" si="9"/>
        <v>0</v>
      </c>
      <c r="F43" s="12">
        <f t="shared" si="10"/>
        <v>0</v>
      </c>
      <c r="G43" s="12">
        <f t="shared" si="11"/>
        <v>6.5</v>
      </c>
      <c r="H43" s="9" t="s">
        <v>150</v>
      </c>
    </row>
    <row r="44" spans="1:8" ht="15" customHeight="1">
      <c r="A44" s="46" t="s">
        <v>31</v>
      </c>
      <c r="B44" s="46" t="s">
        <v>151</v>
      </c>
      <c r="C44" s="112" t="s">
        <v>85</v>
      </c>
      <c r="D44" s="47"/>
      <c r="E44" s="12">
        <f t="shared" si="9"/>
        <v>0</v>
      </c>
      <c r="F44" s="12">
        <f t="shared" si="10"/>
        <v>0</v>
      </c>
      <c r="G44" s="12">
        <f t="shared" si="11"/>
        <v>6.5</v>
      </c>
      <c r="H44" s="9" t="s">
        <v>152</v>
      </c>
    </row>
    <row r="45" spans="1:8" ht="15" customHeight="1">
      <c r="A45" s="46" t="s">
        <v>31</v>
      </c>
      <c r="B45" s="46" t="s">
        <v>153</v>
      </c>
      <c r="C45" s="112" t="s">
        <v>88</v>
      </c>
      <c r="D45" s="47"/>
      <c r="E45" s="12">
        <f t="shared" si="9"/>
        <v>0</v>
      </c>
      <c r="F45" s="12">
        <f t="shared" si="10"/>
        <v>0</v>
      </c>
      <c r="G45" s="12">
        <f t="shared" si="11"/>
        <v>8</v>
      </c>
      <c r="H45" s="9" t="s">
        <v>154</v>
      </c>
    </row>
    <row r="46" spans="1:8" ht="15" customHeight="1">
      <c r="A46" s="46" t="s">
        <v>31</v>
      </c>
      <c r="B46" s="46" t="s">
        <v>155</v>
      </c>
      <c r="C46" s="112" t="s">
        <v>156</v>
      </c>
      <c r="D46" s="47"/>
      <c r="E46" s="12">
        <f t="shared" si="9"/>
        <v>0</v>
      </c>
      <c r="F46" s="12">
        <f t="shared" si="10"/>
        <v>0</v>
      </c>
      <c r="G46" s="12">
        <f t="shared" si="11"/>
        <v>9</v>
      </c>
      <c r="H46" s="9" t="s">
        <v>157</v>
      </c>
    </row>
    <row r="47" spans="1:8" ht="15" customHeight="1">
      <c r="A47" s="46" t="s">
        <v>31</v>
      </c>
      <c r="B47" s="46" t="s">
        <v>158</v>
      </c>
      <c r="C47" s="112" t="s">
        <v>97</v>
      </c>
      <c r="D47" s="47"/>
      <c r="E47" s="12">
        <f t="shared" si="9"/>
        <v>0</v>
      </c>
      <c r="F47" s="12">
        <f t="shared" si="10"/>
        <v>0</v>
      </c>
      <c r="G47" s="12">
        <f t="shared" si="11"/>
        <v>10</v>
      </c>
      <c r="H47" s="9" t="s">
        <v>159</v>
      </c>
    </row>
    <row r="48" spans="1:8" ht="15" customHeight="1">
      <c r="A48" s="46" t="s">
        <v>31</v>
      </c>
      <c r="B48" s="46" t="s">
        <v>160</v>
      </c>
      <c r="C48" s="112" t="s">
        <v>161</v>
      </c>
      <c r="D48" s="47"/>
      <c r="E48" s="12">
        <f t="shared" si="9"/>
        <v>0</v>
      </c>
      <c r="F48" s="12">
        <f t="shared" si="10"/>
        <v>0</v>
      </c>
      <c r="G48" s="12">
        <f t="shared" si="11"/>
        <v>12</v>
      </c>
      <c r="H48" s="9" t="s">
        <v>162</v>
      </c>
    </row>
    <row r="49" spans="1:8" ht="15" customHeight="1">
      <c r="A49" s="55" t="s">
        <v>163</v>
      </c>
      <c r="B49" s="53"/>
      <c r="C49" s="54"/>
      <c r="D49" s="53"/>
      <c r="E49" s="53"/>
      <c r="F49" s="53"/>
      <c r="G49" s="46"/>
    </row>
    <row r="50" spans="1:8" ht="15" customHeight="1">
      <c r="A50" s="46" t="s">
        <v>32</v>
      </c>
      <c r="B50" s="46" t="s">
        <v>164</v>
      </c>
      <c r="C50" s="8" t="s">
        <v>69</v>
      </c>
      <c r="D50" s="47"/>
      <c r="E50" s="12">
        <f>D50/2*100</f>
        <v>0</v>
      </c>
      <c r="F50" s="12">
        <f>IF(E50&gt;=80,1,0)</f>
        <v>0</v>
      </c>
      <c r="G50" s="12">
        <f>AVERAGE(VALUE(LEFT(C50,FIND("-",C50)-1)),VALUE(RIGHT(C50,LEN(C50)-FIND("-",C50))))</f>
        <v>2.5</v>
      </c>
      <c r="H50" s="9" t="s">
        <v>165</v>
      </c>
    </row>
    <row r="51" spans="1:8" ht="15" customHeight="1">
      <c r="A51" s="46" t="s">
        <v>32</v>
      </c>
      <c r="B51" s="46" t="s">
        <v>166</v>
      </c>
      <c r="C51" s="8" t="s">
        <v>91</v>
      </c>
      <c r="D51" s="47"/>
      <c r="E51" s="12">
        <f>D51/2*100</f>
        <v>0</v>
      </c>
      <c r="F51" s="12">
        <f>IF(E51&gt;=80,1,0)</f>
        <v>0</v>
      </c>
      <c r="G51" s="12">
        <f>AVERAGE(VALUE(LEFT(C51,FIND("-",C51)-1)),VALUE(RIGHT(C51,LEN(C51)-FIND("-",C51))))</f>
        <v>7</v>
      </c>
      <c r="H51" s="9" t="s">
        <v>167</v>
      </c>
    </row>
    <row r="52" spans="1:8" ht="15" customHeight="1">
      <c r="A52" s="46" t="s">
        <v>32</v>
      </c>
      <c r="B52" s="46" t="s">
        <v>168</v>
      </c>
      <c r="C52" s="8" t="s">
        <v>88</v>
      </c>
      <c r="D52" s="47"/>
      <c r="E52" s="12">
        <f>D52/2*100</f>
        <v>0</v>
      </c>
      <c r="F52" s="12">
        <f>IF(E52&gt;=80,1,0)</f>
        <v>0</v>
      </c>
      <c r="G52" s="12">
        <f>AVERAGE(VALUE(LEFT(C52,FIND("-",C52)-1)),VALUE(RIGHT(C52,LEN(C52)-FIND("-",C52))))</f>
        <v>8</v>
      </c>
      <c r="H52" s="9" t="s">
        <v>169</v>
      </c>
    </row>
    <row r="53" spans="1:8" ht="15" customHeight="1">
      <c r="A53" s="46" t="s">
        <v>32</v>
      </c>
      <c r="B53" s="46" t="s">
        <v>170</v>
      </c>
      <c r="C53" s="8" t="s">
        <v>156</v>
      </c>
      <c r="D53" s="47"/>
      <c r="E53" s="12">
        <f>D53/2*100</f>
        <v>0</v>
      </c>
      <c r="F53" s="12">
        <f>IF(E53&gt;=80,1,0)</f>
        <v>0</v>
      </c>
      <c r="G53" s="12">
        <f>AVERAGE(VALUE(LEFT(C53,FIND("-",C53)-1)),VALUE(RIGHT(C53,LEN(C53)-FIND("-",C53))))</f>
        <v>9</v>
      </c>
      <c r="H53" s="9" t="s">
        <v>171</v>
      </c>
    </row>
    <row r="54" spans="1:8" ht="15" customHeight="1">
      <c r="A54" s="46" t="s">
        <v>32</v>
      </c>
      <c r="B54" s="46" t="s">
        <v>172</v>
      </c>
      <c r="C54" s="8" t="s">
        <v>173</v>
      </c>
      <c r="D54" s="47"/>
      <c r="E54" s="12">
        <f>D54/2*100</f>
        <v>0</v>
      </c>
      <c r="F54" s="12">
        <f>IF(E54&gt;=80,1,0)</f>
        <v>0</v>
      </c>
      <c r="G54" s="12">
        <f>AVERAGE(VALUE(LEFT(C54,FIND("-",C54)-1)),VALUE(RIGHT(C54,LEN(C54)-FIND("-",C54))))</f>
        <v>10.5</v>
      </c>
      <c r="H54" s="9" t="s">
        <v>174</v>
      </c>
    </row>
    <row r="55" spans="1:8" ht="15" customHeight="1">
      <c r="A55" s="55" t="s">
        <v>175</v>
      </c>
      <c r="B55" s="53"/>
      <c r="C55" s="54"/>
      <c r="D55" s="53"/>
      <c r="E55" s="53"/>
      <c r="F55" s="53"/>
      <c r="G55" s="46"/>
    </row>
    <row r="56" spans="1:8" ht="15" customHeight="1">
      <c r="A56" s="46" t="s">
        <v>33</v>
      </c>
      <c r="B56" s="46" t="s">
        <v>176</v>
      </c>
      <c r="C56" s="8" t="s">
        <v>128</v>
      </c>
      <c r="D56" s="47"/>
      <c r="E56" s="12">
        <f t="shared" ref="E56:E61" si="12">D56/2*100</f>
        <v>0</v>
      </c>
      <c r="F56" s="12">
        <f t="shared" ref="F56:F61" si="13">IF(E56&gt;=80,1,0)</f>
        <v>0</v>
      </c>
      <c r="G56" s="12">
        <f t="shared" ref="G56:G61" si="14">AVERAGE(VALUE(LEFT(C56,FIND("-",C56)-1)),VALUE(RIGHT(C56,LEN(C56)-FIND("-",C56))))</f>
        <v>1.5</v>
      </c>
      <c r="H56" s="9" t="s">
        <v>177</v>
      </c>
    </row>
    <row r="57" spans="1:8" ht="15" customHeight="1">
      <c r="A57" s="46" t="s">
        <v>33</v>
      </c>
      <c r="B57" s="46" t="s">
        <v>178</v>
      </c>
      <c r="C57" s="8" t="s">
        <v>69</v>
      </c>
      <c r="D57" s="47"/>
      <c r="E57" s="12">
        <f t="shared" si="12"/>
        <v>0</v>
      </c>
      <c r="F57" s="12">
        <f t="shared" si="13"/>
        <v>0</v>
      </c>
      <c r="G57" s="12">
        <f t="shared" si="14"/>
        <v>2.5</v>
      </c>
      <c r="H57" s="9" t="s">
        <v>179</v>
      </c>
    </row>
    <row r="58" spans="1:8" ht="15" customHeight="1">
      <c r="A58" s="46" t="s">
        <v>33</v>
      </c>
      <c r="B58" s="46" t="s">
        <v>180</v>
      </c>
      <c r="C58" s="8" t="s">
        <v>74</v>
      </c>
      <c r="D58" s="47"/>
      <c r="E58" s="12">
        <f t="shared" si="12"/>
        <v>0</v>
      </c>
      <c r="F58" s="12">
        <f t="shared" si="13"/>
        <v>0</v>
      </c>
      <c r="G58" s="12">
        <f t="shared" si="14"/>
        <v>3.5</v>
      </c>
      <c r="H58" s="9" t="s">
        <v>181</v>
      </c>
    </row>
    <row r="59" spans="1:8" ht="15" customHeight="1">
      <c r="A59" s="46" t="s">
        <v>33</v>
      </c>
      <c r="B59" s="46" t="s">
        <v>182</v>
      </c>
      <c r="C59" s="8" t="s">
        <v>91</v>
      </c>
      <c r="D59" s="47"/>
      <c r="E59" s="12">
        <f t="shared" si="12"/>
        <v>0</v>
      </c>
      <c r="F59" s="12">
        <f t="shared" si="13"/>
        <v>0</v>
      </c>
      <c r="G59" s="12">
        <f t="shared" si="14"/>
        <v>7</v>
      </c>
      <c r="H59" s="9" t="s">
        <v>183</v>
      </c>
    </row>
    <row r="60" spans="1:8" ht="15" customHeight="1">
      <c r="A60" s="46" t="s">
        <v>33</v>
      </c>
      <c r="B60" s="46" t="s">
        <v>184</v>
      </c>
      <c r="C60" s="8" t="s">
        <v>142</v>
      </c>
      <c r="D60" s="47"/>
      <c r="E60" s="12">
        <f t="shared" si="12"/>
        <v>0</v>
      </c>
      <c r="F60" s="12">
        <f t="shared" si="13"/>
        <v>0</v>
      </c>
      <c r="G60" s="12">
        <f t="shared" si="14"/>
        <v>7.5</v>
      </c>
      <c r="H60" s="9" t="s">
        <v>185</v>
      </c>
    </row>
    <row r="61" spans="1:8" ht="15" customHeight="1">
      <c r="A61" s="46" t="s">
        <v>33</v>
      </c>
      <c r="B61" s="46" t="s">
        <v>186</v>
      </c>
      <c r="C61" s="8" t="s">
        <v>187</v>
      </c>
      <c r="D61" s="47"/>
      <c r="E61" s="12">
        <f t="shared" si="12"/>
        <v>0</v>
      </c>
      <c r="F61" s="12">
        <f t="shared" si="13"/>
        <v>0</v>
      </c>
      <c r="G61" s="12">
        <f t="shared" si="14"/>
        <v>10</v>
      </c>
      <c r="H61" s="9" t="s">
        <v>188</v>
      </c>
    </row>
    <row r="62" spans="1:8" ht="15" customHeight="1">
      <c r="A62" s="55" t="s">
        <v>189</v>
      </c>
      <c r="B62" s="53"/>
      <c r="C62" s="54"/>
      <c r="D62" s="53"/>
      <c r="E62" s="53"/>
      <c r="F62" s="53"/>
      <c r="G62" s="46"/>
    </row>
    <row r="63" spans="1:8" ht="15" customHeight="1">
      <c r="A63" s="46" t="s">
        <v>34</v>
      </c>
      <c r="B63" s="46" t="s">
        <v>190</v>
      </c>
      <c r="C63" s="8" t="s">
        <v>128</v>
      </c>
      <c r="D63" s="47"/>
      <c r="E63" s="12">
        <f>D63/2*100</f>
        <v>0</v>
      </c>
      <c r="F63" s="12">
        <f>IF(E63&gt;=80,1,0)</f>
        <v>0</v>
      </c>
      <c r="G63" s="12">
        <f>AVERAGE(VALUE(LEFT(C63,FIND("-",C63)-1)),VALUE(RIGHT(C63,LEN(C63)-FIND("-",C63))))</f>
        <v>1.5</v>
      </c>
      <c r="H63" s="9" t="s">
        <v>191</v>
      </c>
    </row>
    <row r="64" spans="1:8" ht="15" customHeight="1">
      <c r="A64" s="46" t="s">
        <v>34</v>
      </c>
      <c r="B64" s="46" t="s">
        <v>192</v>
      </c>
      <c r="C64" s="8" t="s">
        <v>69</v>
      </c>
      <c r="D64" s="47"/>
      <c r="E64" s="12">
        <f>D64/2*100</f>
        <v>0</v>
      </c>
      <c r="F64" s="12">
        <f>IF(E64&gt;=80,1,0)</f>
        <v>0</v>
      </c>
      <c r="G64" s="12">
        <f>AVERAGE(VALUE(LEFT(C64,FIND("-",C64)-1)),VALUE(RIGHT(C64,LEN(C64)-FIND("-",C64))))</f>
        <v>2.5</v>
      </c>
      <c r="H64" s="9" t="s">
        <v>193</v>
      </c>
    </row>
    <row r="65" spans="1:8" ht="15" customHeight="1">
      <c r="A65" s="46" t="s">
        <v>34</v>
      </c>
      <c r="B65" s="46" t="s">
        <v>194</v>
      </c>
      <c r="C65" s="8" t="s">
        <v>139</v>
      </c>
      <c r="D65" s="47"/>
      <c r="E65" s="12">
        <f>D65/2*100</f>
        <v>0</v>
      </c>
      <c r="F65" s="12">
        <f>IF(E65&gt;=80,1,0)</f>
        <v>0</v>
      </c>
      <c r="G65" s="12">
        <f>AVERAGE(VALUE(LEFT(C65,FIND("-",C65)-1)),VALUE(RIGHT(C65,LEN(C65)-FIND("-",C65))))</f>
        <v>5</v>
      </c>
      <c r="H65" s="9" t="s">
        <v>195</v>
      </c>
    </row>
    <row r="66" spans="1:8" ht="15" customHeight="1">
      <c r="A66" s="46" t="s">
        <v>34</v>
      </c>
      <c r="B66" s="46" t="s">
        <v>196</v>
      </c>
      <c r="C66" s="8" t="s">
        <v>88</v>
      </c>
      <c r="D66" s="47"/>
      <c r="E66" s="12">
        <f>D66/2*100</f>
        <v>0</v>
      </c>
      <c r="F66" s="12">
        <f>IF(E66&gt;=80,1,0)</f>
        <v>0</v>
      </c>
      <c r="G66" s="12">
        <f>AVERAGE(VALUE(LEFT(C66,FIND("-",C66)-1)),VALUE(RIGHT(C66,LEN(C66)-FIND("-",C66))))</f>
        <v>8</v>
      </c>
      <c r="H66" s="9" t="s">
        <v>197</v>
      </c>
    </row>
    <row r="67" spans="1:8" ht="15" customHeight="1">
      <c r="A67" s="46" t="s">
        <v>34</v>
      </c>
      <c r="B67" s="46" t="s">
        <v>198</v>
      </c>
      <c r="C67" s="8" t="s">
        <v>173</v>
      </c>
      <c r="D67" s="47"/>
      <c r="E67" s="12">
        <f>D67/2*100</f>
        <v>0</v>
      </c>
      <c r="F67" s="12">
        <f>IF(E67&gt;=80,1,0)</f>
        <v>0</v>
      </c>
      <c r="G67" s="12">
        <f>AVERAGE(VALUE(LEFT(C67,FIND("-",C67)-1)),VALUE(RIGHT(C67,LEN(C67)-FIND("-",C67))))</f>
        <v>10.5</v>
      </c>
      <c r="H67" s="9" t="s">
        <v>199</v>
      </c>
    </row>
    <row r="68" spans="1:8" ht="15" customHeight="1">
      <c r="A68" s="13"/>
    </row>
  </sheetData>
  <sheetProtection algorithmName="SHA-512" hashValue="mh5GINkHv6zDsLm+VZeEdDE29jjipBdyDTOllMJG0wx2/qy/Cn7WFykh5NmzHvmY37OOuQkPrTr+rpFTapQg4w==" saltValue="Oi51IYcRXhK8eVn+Ce3SKg==" spinCount="100000" sheet="1" objects="1" scenarios="1" selectLockedCells="1"/>
  <mergeCells count="14">
    <mergeCell ref="A62:F62"/>
    <mergeCell ref="A3:F3"/>
    <mergeCell ref="A55:F55"/>
    <mergeCell ref="A7:F7"/>
    <mergeCell ref="A2:F2"/>
    <mergeCell ref="A49:F49"/>
    <mergeCell ref="A1:F1"/>
    <mergeCell ref="A5:F5"/>
    <mergeCell ref="A9:F9"/>
    <mergeCell ref="A23:F23"/>
    <mergeCell ref="A32:F32"/>
    <mergeCell ref="A6:F6"/>
    <mergeCell ref="A40:F40"/>
    <mergeCell ref="A4:F4"/>
  </mergeCells>
  <pageMargins left="0.75" right="0.75" top="1" bottom="1" header="0.511811023622047" footer="0.51180555555555596"/>
  <pageSetup paperSize="9" orientation="portrait" horizontalDpi="300" verticalDpi="300"/>
  <headerFooter>
    <oddFooter>&amp;C&amp;8 &amp;K888888© 2025 Rabiga Sagyndykova · LOLA System · Запрещена перепродажа и передача третьим лицам&amp;R&amp;8 Стр. &amp;P из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M47"/>
  <sheetViews>
    <sheetView topLeftCell="A16" zoomScale="81" zoomScaleNormal="81" workbookViewId="0">
      <selection activeCell="M6" sqref="M6"/>
    </sheetView>
  </sheetViews>
  <sheetFormatPr defaultColWidth="8.7265625" defaultRowHeight="14.5"/>
  <cols>
    <col min="1" max="1" width="12.7265625" style="66" customWidth="1"/>
    <col min="2" max="2" width="23.26953125" style="66" customWidth="1"/>
    <col min="3" max="3" width="3.26953125" style="66" customWidth="1"/>
    <col min="4" max="4" width="17" style="66" customWidth="1"/>
    <col min="5" max="5" width="38.453125" style="66" customWidth="1"/>
    <col min="6" max="16384" width="8.7265625" style="66"/>
  </cols>
  <sheetData>
    <row r="1" spans="1:11" ht="15" customHeight="1">
      <c r="A1" s="113" t="s">
        <v>200</v>
      </c>
      <c r="B1" s="65"/>
      <c r="C1" s="114"/>
      <c r="D1" s="115" t="s">
        <v>201</v>
      </c>
      <c r="E1" s="116"/>
      <c r="F1" s="114"/>
      <c r="G1" s="114"/>
      <c r="H1" s="117" t="s">
        <v>202</v>
      </c>
      <c r="I1" s="117"/>
      <c r="J1" s="117"/>
      <c r="K1" s="117"/>
    </row>
    <row r="2" spans="1:11" ht="15" customHeight="1">
      <c r="A2" s="118" t="s">
        <v>203</v>
      </c>
      <c r="B2" s="118" t="s">
        <v>204</v>
      </c>
      <c r="C2" s="114"/>
      <c r="D2" s="119" t="s">
        <v>205</v>
      </c>
      <c r="E2" s="118" t="s">
        <v>206</v>
      </c>
      <c r="F2" s="114"/>
      <c r="G2" s="120" t="s">
        <v>207</v>
      </c>
      <c r="H2" s="120"/>
      <c r="I2" s="120"/>
      <c r="J2" s="120"/>
      <c r="K2" s="114"/>
    </row>
    <row r="3" spans="1:11" ht="15" customHeight="1">
      <c r="A3" s="121" t="s">
        <v>208</v>
      </c>
      <c r="B3" s="122">
        <f>ПАСПОРТ!B2</f>
        <v>0</v>
      </c>
      <c r="C3" s="114"/>
      <c r="D3" s="123" t="s">
        <v>209</v>
      </c>
      <c r="E3" s="124" t="str">
        <f>профиль!B11</f>
        <v>Физика</v>
      </c>
      <c r="F3" s="114"/>
      <c r="G3" s="125" t="s">
        <v>210</v>
      </c>
      <c r="H3" s="125"/>
      <c r="I3" s="125"/>
      <c r="J3" s="125"/>
      <c r="K3" s="114"/>
    </row>
    <row r="4" spans="1:11" ht="15" customHeight="1">
      <c r="A4" s="121" t="s">
        <v>211</v>
      </c>
      <c r="B4" s="126">
        <f>ПАСПОРТ!B5</f>
        <v>0</v>
      </c>
      <c r="C4" s="114"/>
      <c r="D4" s="123" t="s">
        <v>212</v>
      </c>
      <c r="E4" s="123" t="str">
        <f>профиль!B12</f>
        <v>Физика</v>
      </c>
      <c r="F4" s="114"/>
      <c r="G4" s="127" t="s">
        <v>213</v>
      </c>
      <c r="H4" s="127"/>
      <c r="I4" s="127"/>
      <c r="J4" s="127"/>
      <c r="K4" s="114"/>
    </row>
    <row r="5" spans="1:11" ht="50.25" customHeight="1">
      <c r="A5" s="121"/>
      <c r="B5" s="126"/>
      <c r="C5" s="114"/>
      <c r="D5" s="123" t="s">
        <v>214</v>
      </c>
      <c r="E5" s="123" t="str">
        <f>профиль!C21</f>
        <v>Зона ближайшего развития: Самообслуживание. Развитие этой сферы может дать наибольший прогресс в ближайшее время.</v>
      </c>
      <c r="F5" s="114"/>
      <c r="G5" s="128" t="s">
        <v>215</v>
      </c>
      <c r="H5" s="129"/>
      <c r="I5" s="129"/>
      <c r="J5" s="129"/>
      <c r="K5" s="114"/>
    </row>
    <row r="6" spans="1:11" ht="91.5" customHeight="1">
      <c r="A6" s="130" t="s">
        <v>27</v>
      </c>
      <c r="B6" s="131">
        <f>ПАСПОРТ!B4</f>
        <v>0</v>
      </c>
      <c r="C6" s="114"/>
      <c r="D6" s="132" t="s">
        <v>216</v>
      </c>
      <c r="E6" s="132" t="str">
        <f>профиль!L9</f>
        <v>Средний уровень развития составляет 0%. Сильная сторона — Физика. Зона наибольшего внимания — Физика. Разница между сферами — 0%. Уровень риска: Высокий риск задержки развития.</v>
      </c>
      <c r="F6" s="114"/>
      <c r="G6" s="133" t="s">
        <v>217</v>
      </c>
      <c r="H6" s="65"/>
      <c r="I6" s="65"/>
      <c r="J6" s="65"/>
      <c r="K6" s="114"/>
    </row>
    <row r="7" spans="1:11" ht="39.75" customHeight="1">
      <c r="A7" s="121" t="s">
        <v>218</v>
      </c>
      <c r="B7" s="134" t="str">
        <f>ПАСПОРТ!B8</f>
        <v>Нормативный</v>
      </c>
      <c r="C7" s="114"/>
      <c r="D7" s="130" t="s">
        <v>219</v>
      </c>
      <c r="E7" s="123" t="str">
        <f>профиль!B24</f>
        <v>Развитие относительно гармоничное</v>
      </c>
      <c r="F7" s="114"/>
      <c r="G7" s="114"/>
      <c r="H7" s="114"/>
      <c r="I7" s="114"/>
      <c r="J7" s="135"/>
      <c r="K7" s="114"/>
    </row>
    <row r="8" spans="1:11" ht="43.5" customHeight="1">
      <c r="A8" s="136" t="s">
        <v>220</v>
      </c>
      <c r="B8" s="137">
        <f>профиль!B10</f>
        <v>0</v>
      </c>
      <c r="C8" s="114"/>
      <c r="D8" s="136" t="s">
        <v>221</v>
      </c>
      <c r="E8" s="132" t="str">
        <f>профиль!K9</f>
        <v>Функциональный уровень развития ребёнка примерно соответствует диапазону 0–0 месяцев.</v>
      </c>
      <c r="F8" s="114"/>
      <c r="G8" s="114"/>
      <c r="H8" s="114"/>
      <c r="I8" s="114"/>
      <c r="J8" s="114"/>
      <c r="K8" s="114"/>
    </row>
    <row r="9" spans="1:11" ht="67.5" customHeight="1">
      <c r="A9" s="138" t="s">
        <v>222</v>
      </c>
      <c r="B9" s="139" t="str">
        <f>профиль!K10</f>
        <v>Разница между паспортным возрастом и уровнем развития составляет примерно 0,0 года.</v>
      </c>
      <c r="C9" s="114"/>
      <c r="D9" s="140" t="s">
        <v>223</v>
      </c>
      <c r="E9" s="132" t="str">
        <f>профиль!B31</f>
        <v>Рекомендуется комплексная коррекционная помощь</v>
      </c>
    </row>
    <row r="10" spans="1:11" ht="15" customHeight="1">
      <c r="A10" s="141"/>
    </row>
    <row r="18" spans="1:13" ht="15" customHeight="1">
      <c r="K18" s="142"/>
    </row>
    <row r="20" spans="1:13" ht="15" customHeight="1">
      <c r="F20" s="142" t="s">
        <v>224</v>
      </c>
    </row>
    <row r="21" spans="1:13" ht="15" customHeight="1">
      <c r="F21" s="142" t="s">
        <v>225</v>
      </c>
    </row>
    <row r="28" spans="1:13" ht="15" customHeight="1">
      <c r="A28" s="142" t="s">
        <v>226</v>
      </c>
    </row>
    <row r="29" spans="1:13" ht="15" customHeight="1">
      <c r="A29" s="142" t="s">
        <v>227</v>
      </c>
    </row>
    <row r="30" spans="1:13" ht="23.25" customHeight="1">
      <c r="F30" s="142" t="s">
        <v>228</v>
      </c>
      <c r="G30" s="142"/>
      <c r="H30" s="142"/>
      <c r="I30" s="142"/>
      <c r="J30" s="142"/>
      <c r="K30" s="142"/>
      <c r="L30" s="142"/>
      <c r="M30" s="142"/>
    </row>
    <row r="31" spans="1:13" ht="18.75" customHeight="1">
      <c r="B31" s="143" t="s">
        <v>229</v>
      </c>
      <c r="C31" s="144"/>
      <c r="D31" s="144"/>
    </row>
    <row r="33" spans="1:11" ht="15" customHeight="1">
      <c r="A33" s="145" t="s">
        <v>59</v>
      </c>
      <c r="B33" s="145" t="s">
        <v>223</v>
      </c>
    </row>
    <row r="34" spans="1:11" ht="77.25" customHeight="1">
      <c r="A34" s="146" t="str">
        <f>профиль!A2</f>
        <v>Физика</v>
      </c>
      <c r="B34" s="147" t="str">
        <f>профиль!M2</f>
        <v xml:space="preserve">Сфера "Физика" требует приоритетной коррекционной поддержки. Рекомендовано: консультация по ЛФК          </v>
      </c>
    </row>
    <row r="35" spans="1:11" ht="85.5" customHeight="1">
      <c r="A35" s="146" t="str">
        <f>профиль!A3</f>
        <v>Мелкая моторика</v>
      </c>
      <c r="B35" s="147" t="str">
        <f>профиль!M3</f>
        <v xml:space="preserve">Сфера "Мелкая моторика" требует дополнительной поддержки. Рекомендовано: ежедневные упражнения     </v>
      </c>
    </row>
    <row r="36" spans="1:11" ht="64.5" customHeight="1">
      <c r="A36" s="146" t="str">
        <f>профиль!A4</f>
        <v>Речь</v>
      </c>
      <c r="B36" s="147" t="str">
        <f>профиль!M4</f>
        <v xml:space="preserve">Сфера "Речь" требует дополнительной поддержки. Рекомендовано: логопедическая помощь     </v>
      </c>
    </row>
    <row r="37" spans="1:11" ht="77.25" customHeight="1">
      <c r="A37" s="146" t="str">
        <f>профиль!A5</f>
        <v>Когнитив</v>
      </c>
      <c r="B37" s="147" t="str">
        <f>профиль!M5</f>
        <v xml:space="preserve">Сфера "Когнитив" требует дополнительной поддержки. Рекомендовано: структурированные занятия </v>
      </c>
    </row>
    <row r="38" spans="1:11" ht="64.5" customHeight="1">
      <c r="A38" s="146" t="str">
        <f>профиль!A6</f>
        <v>Эмоции</v>
      </c>
      <c r="B38" s="147" t="str">
        <f>профиль!M6</f>
        <v xml:space="preserve">Сфера "Эмоции" требует дополнительной поддержки. Рекомендовано: помощь психолога          </v>
      </c>
    </row>
    <row r="39" spans="1:11" ht="78" customHeight="1">
      <c r="A39" s="146" t="str">
        <f>профиль!A7</f>
        <v>Социал</v>
      </c>
      <c r="B39" s="147" t="str">
        <f>профиль!M7</f>
        <v xml:space="preserve">Сфера "Социал" требует дополнительной поддержки. Рекомендовано: поддержка специалиста     </v>
      </c>
    </row>
    <row r="40" spans="1:11" ht="91.5" customHeight="1">
      <c r="A40" s="146" t="str">
        <f>профиль!A8</f>
        <v>Самообслуживание</v>
      </c>
      <c r="B40" s="147" t="str">
        <f>профиль!M8</f>
        <v xml:space="preserve">Сфера "Самообслуживание" требует дополнительной поддержки. Рекомендовано: ежедневная поддержка      </v>
      </c>
    </row>
    <row r="42" spans="1:11" ht="45" customHeight="1">
      <c r="A42" s="148" t="s">
        <v>230</v>
      </c>
      <c r="B42" s="146" t="str">
        <f>профиль!B16</f>
        <v>Моторный профиль развития</v>
      </c>
      <c r="C42" s="149"/>
      <c r="D42" s="149"/>
      <c r="E42" s="149"/>
      <c r="F42" s="149"/>
      <c r="G42" s="149"/>
      <c r="H42" s="149"/>
      <c r="I42" s="149"/>
      <c r="J42" s="149"/>
      <c r="K42" s="149"/>
    </row>
    <row r="43" spans="1:11" ht="15" customHeight="1">
      <c r="A43" s="150" t="s">
        <v>231</v>
      </c>
      <c r="B43" s="149" t="str">
        <f>профиль!B17</f>
        <v>Ребёнок лучше усваивает навыки через движение и действия. Используйте двигательную активность для обучения.</v>
      </c>
      <c r="C43" s="149"/>
      <c r="D43" s="149"/>
      <c r="E43" s="149"/>
      <c r="F43" s="149"/>
      <c r="G43" s="149"/>
      <c r="H43" s="149"/>
      <c r="I43" s="149"/>
      <c r="J43" s="149"/>
      <c r="K43" s="149"/>
    </row>
    <row r="44" spans="1:11" ht="30" customHeight="1">
      <c r="A44" s="151" t="s">
        <v>232</v>
      </c>
      <c r="B44" s="149" t="str">
        <f>профиль!B18</f>
        <v>Обучение через движение: игры с предметами, упражнения, подвижные задания.</v>
      </c>
      <c r="C44" s="149"/>
      <c r="D44" s="149"/>
      <c r="E44" s="149"/>
      <c r="F44" s="149"/>
      <c r="G44" s="149"/>
      <c r="H44" s="149"/>
      <c r="I44" s="149"/>
      <c r="J44" s="149"/>
      <c r="K44" s="149"/>
    </row>
    <row r="45" spans="1:11" ht="30" customHeight="1">
      <c r="A45" s="146" t="s">
        <v>233</v>
      </c>
      <c r="B45" s="149" t="str">
        <f>профиль!B19</f>
        <v>Темп развития выраженно замедлен</v>
      </c>
      <c r="C45" s="149"/>
      <c r="D45" s="149"/>
      <c r="E45" s="149"/>
      <c r="F45" s="149"/>
      <c r="G45" s="149"/>
      <c r="H45" s="149"/>
      <c r="I45" s="149"/>
      <c r="J45" s="149"/>
      <c r="K45" s="149"/>
    </row>
    <row r="46" spans="1:11" ht="30" customHeight="1">
      <c r="A46" s="146" t="s">
        <v>234</v>
      </c>
      <c r="B46" s="66" t="str">
        <f>профиль!B20</f>
        <v>Рекомендуется комплексная коррекционная поддержка.</v>
      </c>
    </row>
    <row r="47" spans="1:11" ht="15" customHeight="1">
      <c r="A47" s="152"/>
      <c r="B47" s="149"/>
      <c r="C47" s="149"/>
      <c r="D47" s="149"/>
      <c r="E47" s="149"/>
      <c r="F47" s="149"/>
      <c r="G47" s="149"/>
      <c r="H47" s="149"/>
      <c r="I47" s="149"/>
    </row>
  </sheetData>
  <sheetProtection algorithmName="SHA-512" hashValue="8umR7Rs3XA7K//+roYEt9/TKeBNViRZGN9rd2UomO4UHLaBVB7kvGm5/2zH8n9FMof30y1vYjvc8L2HlwXQu9Q==" saltValue="gsG/urL/dfdLIUBp6utaNg==" spinCount="100000" sheet="1" objects="1" scenarios="1" selectLockedCells="1"/>
  <mergeCells count="2">
    <mergeCell ref="G6:J6"/>
    <mergeCell ref="A1:B1"/>
  </mergeCells>
  <conditionalFormatting sqref="B8">
    <cfRule type="dataBar" priority="2">
      <dataBar>
        <cfvo type="min"/>
        <cfvo type="max"/>
        <color rgb="FF63C384"/>
      </dataBar>
    </cfRule>
    <cfRule type="cellIs" dxfId="12" priority="3" operator="greaterThanOrEqual">
      <formula>90</formula>
    </cfRule>
  </conditionalFormatting>
  <pageMargins left="0.75" right="0.75" top="1" bottom="1" header="0.511811023622047" footer="0.51180555555555596"/>
  <pageSetup paperSize="9" orientation="portrait" horizontalDpi="300" verticalDpi="300"/>
  <headerFooter>
    <oddFooter>&amp;C&amp;8 &amp;K888888© 2025 Rabiga Sagyndykova · LOLA System · Запрещена перепродажа и передача третьим лицам&amp;R&amp;8 Стр. &amp;P из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-0.499984740745262"/>
  </sheetPr>
  <dimension ref="A1:C42"/>
  <sheetViews>
    <sheetView showGridLines="0" zoomScaleNormal="100" workbookViewId="0">
      <selection sqref="A1:C42"/>
    </sheetView>
  </sheetViews>
  <sheetFormatPr defaultColWidth="8.7265625" defaultRowHeight="14.5"/>
  <cols>
    <col min="1" max="1" width="32" style="66" customWidth="1"/>
    <col min="2" max="2" width="42" style="66" customWidth="1"/>
    <col min="3" max="3" width="20" style="66" customWidth="1"/>
    <col min="4" max="16384" width="8.7265625" style="66"/>
  </cols>
  <sheetData>
    <row r="1" spans="1:3" ht="30" customHeight="1">
      <c r="A1" s="64" t="s">
        <v>235</v>
      </c>
      <c r="B1" s="65"/>
      <c r="C1" s="65"/>
    </row>
    <row r="2" spans="1:3" ht="19.5" customHeight="1">
      <c r="A2" s="67" t="s">
        <v>236</v>
      </c>
      <c r="B2" s="68"/>
      <c r="C2" s="65"/>
    </row>
    <row r="3" spans="1:3">
      <c r="A3" s="69" t="s">
        <v>237</v>
      </c>
      <c r="B3" s="70">
        <f>ПАСПОРТ!B2</f>
        <v>0</v>
      </c>
      <c r="C3" s="71"/>
    </row>
    <row r="4" spans="1:3">
      <c r="A4" s="69" t="s">
        <v>27</v>
      </c>
      <c r="B4" s="70" t="str">
        <f>TEXT(ПАСПОРТ!B4,"ДД.ММ.ГГГГ")</f>
        <v>00.01.1900</v>
      </c>
      <c r="C4" s="71"/>
    </row>
    <row r="5" spans="1:3">
      <c r="A5" s="69" t="s">
        <v>238</v>
      </c>
      <c r="B5" s="72">
        <f>ROUND(ПАСПОРТ!B5,1)</f>
        <v>0</v>
      </c>
      <c r="C5" s="71"/>
    </row>
    <row r="6" spans="1:3">
      <c r="A6" s="69" t="s">
        <v>239</v>
      </c>
      <c r="B6" s="70" t="str">
        <f>ПАСПОРТ!B8</f>
        <v>Нормативный</v>
      </c>
      <c r="C6" s="71"/>
    </row>
    <row r="7" spans="1:3" ht="6" customHeight="1">
      <c r="A7" s="73"/>
      <c r="B7" s="73"/>
      <c r="C7" s="73"/>
    </row>
    <row r="8" spans="1:3" ht="19.5" customHeight="1">
      <c r="A8" s="74" t="s">
        <v>240</v>
      </c>
      <c r="B8" s="75"/>
      <c r="C8" s="76"/>
    </row>
    <row r="9" spans="1:3">
      <c r="A9" s="69" t="s">
        <v>241</v>
      </c>
      <c r="B9" s="70" t="str">
        <f>TEXT(профиль!B10,"0%")</f>
        <v>0%</v>
      </c>
      <c r="C9" s="71"/>
    </row>
    <row r="10" spans="1:3" ht="38.25" customHeight="1">
      <c r="A10" s="69" t="s">
        <v>242</v>
      </c>
      <c r="B10" s="70" t="str">
        <f>профиль!K9</f>
        <v>Функциональный уровень развития ребёнка примерно соответствует диапазону 0–0 месяцев.</v>
      </c>
      <c r="C10" s="71"/>
    </row>
    <row r="11" spans="1:3">
      <c r="A11" s="69" t="s">
        <v>243</v>
      </c>
      <c r="B11" s="70" t="str">
        <f>профиль!B11</f>
        <v>Физика</v>
      </c>
      <c r="C11" s="71"/>
    </row>
    <row r="12" spans="1:3">
      <c r="A12" s="69" t="s">
        <v>244</v>
      </c>
      <c r="B12" s="70" t="str">
        <f>профиль!B15</f>
        <v>Физика</v>
      </c>
      <c r="C12" s="71"/>
    </row>
    <row r="13" spans="1:3">
      <c r="A13" s="69" t="s">
        <v>214</v>
      </c>
      <c r="B13" s="70" t="str">
        <f>профиль!B21</f>
        <v>Самообслуживание</v>
      </c>
      <c r="C13" s="71"/>
    </row>
    <row r="14" spans="1:3">
      <c r="A14" s="69" t="s">
        <v>245</v>
      </c>
      <c r="B14" s="70" t="str">
        <f>профиль!B16</f>
        <v>Моторный профиль развития</v>
      </c>
      <c r="C14" s="71"/>
    </row>
    <row r="15" spans="1:3">
      <c r="A15" s="69" t="s">
        <v>246</v>
      </c>
      <c r="B15" s="70" t="str">
        <f>профиль!B24</f>
        <v>Развитие относительно гармоничное</v>
      </c>
      <c r="C15" s="71"/>
    </row>
    <row r="16" spans="1:3">
      <c r="A16" s="69" t="s">
        <v>247</v>
      </c>
      <c r="B16" s="70" t="str">
        <f>профиль!B30</f>
        <v>Высокий риск задержки развития</v>
      </c>
      <c r="C16" s="71"/>
    </row>
    <row r="17" spans="1:3" ht="6" customHeight="1">
      <c r="A17" s="73"/>
      <c r="B17" s="73"/>
      <c r="C17" s="73"/>
    </row>
    <row r="18" spans="1:3" ht="19.5" customHeight="1">
      <c r="A18" s="77" t="s">
        <v>248</v>
      </c>
      <c r="B18" s="77" t="s">
        <v>249</v>
      </c>
      <c r="C18" s="77" t="s">
        <v>250</v>
      </c>
    </row>
    <row r="19" spans="1:3">
      <c r="A19" s="69" t="str">
        <f>профиль!A2</f>
        <v>Физика</v>
      </c>
      <c r="B19" s="70" t="str">
        <f>профиль!K2</f>
        <v>Выраженное отставание</v>
      </c>
      <c r="C19" s="70" t="str">
        <f>TEXT(профиль!F2,"0%")</f>
        <v>0%</v>
      </c>
    </row>
    <row r="20" spans="1:3">
      <c r="A20" s="69" t="str">
        <f>профиль!A3</f>
        <v>Мелкая моторика</v>
      </c>
      <c r="B20" s="70" t="str">
        <f>профиль!K3</f>
        <v>Выраженное отставание</v>
      </c>
      <c r="C20" s="70" t="str">
        <f>TEXT(профиль!F3,"0%")</f>
        <v>0%</v>
      </c>
    </row>
    <row r="21" spans="1:3">
      <c r="A21" s="69" t="str">
        <f>профиль!A4</f>
        <v>Речь</v>
      </c>
      <c r="B21" s="70" t="str">
        <f>профиль!K4</f>
        <v>Выраженное отставание</v>
      </c>
      <c r="C21" s="70" t="str">
        <f>TEXT(профиль!F4,"0%")</f>
        <v>0%</v>
      </c>
    </row>
    <row r="22" spans="1:3">
      <c r="A22" s="69" t="str">
        <f>профиль!A5</f>
        <v>Когнитив</v>
      </c>
      <c r="B22" s="70" t="str">
        <f>профиль!K5</f>
        <v>Выраженное отставание</v>
      </c>
      <c r="C22" s="70" t="str">
        <f>TEXT(профиль!F5,"0%")</f>
        <v>0%</v>
      </c>
    </row>
    <row r="23" spans="1:3">
      <c r="A23" s="69" t="str">
        <f>профиль!A6</f>
        <v>Эмоции</v>
      </c>
      <c r="B23" s="70" t="str">
        <f>профиль!K6</f>
        <v>Выраженное отставание</v>
      </c>
      <c r="C23" s="70" t="str">
        <f>TEXT(профиль!F6,"0%")</f>
        <v>0%</v>
      </c>
    </row>
    <row r="24" spans="1:3">
      <c r="A24" s="69" t="str">
        <f>профиль!A7</f>
        <v>Социал</v>
      </c>
      <c r="B24" s="70" t="str">
        <f>профиль!K7</f>
        <v>Выраженное отставание</v>
      </c>
      <c r="C24" s="70" t="str">
        <f>TEXT(профиль!F7,"0%")</f>
        <v>0%</v>
      </c>
    </row>
    <row r="25" spans="1:3">
      <c r="A25" s="69" t="str">
        <f>профиль!A8</f>
        <v>Самообслуживание</v>
      </c>
      <c r="B25" s="70" t="str">
        <f>профиль!K8</f>
        <v>Выраженное отставание</v>
      </c>
      <c r="C25" s="70" t="str">
        <f>TEXT(профиль!F8,"0%")</f>
        <v>0%</v>
      </c>
    </row>
    <row r="26" spans="1:3" ht="6" customHeight="1">
      <c r="A26" s="73"/>
      <c r="B26" s="73"/>
      <c r="C26" s="73"/>
    </row>
    <row r="27" spans="1:3" ht="19.5" customHeight="1">
      <c r="A27" s="74" t="s">
        <v>251</v>
      </c>
      <c r="B27" s="75"/>
      <c r="C27" s="76"/>
    </row>
    <row r="28" spans="1:3">
      <c r="A28" s="69" t="s">
        <v>252</v>
      </c>
      <c r="B28" s="78" t="str">
        <f>профиль!B32</f>
        <v>Физиотерапевт / ЛФК</v>
      </c>
      <c r="C28" s="76"/>
    </row>
    <row r="29" spans="1:3">
      <c r="A29" s="69" t="s">
        <v>253</v>
      </c>
      <c r="B29" s="78" t="str">
        <f>профиль!B33</f>
        <v>Лечебная физкультура, физиотерапия</v>
      </c>
      <c r="C29" s="76"/>
    </row>
    <row r="30" spans="1:3">
      <c r="A30" s="69" t="s">
        <v>254</v>
      </c>
      <c r="B30" s="78" t="str">
        <f>профиль!B29</f>
        <v>Рекомендуемая нагрузка: 60–90 минут занятий в день</v>
      </c>
      <c r="C30" s="76"/>
    </row>
    <row r="31" spans="1:3" ht="39.75" customHeight="1">
      <c r="A31" s="69" t="s">
        <v>232</v>
      </c>
      <c r="B31" s="79" t="str">
        <f>профиль!B18</f>
        <v>Обучение через движение: игры с предметами, упражнения, подвижные задания.</v>
      </c>
      <c r="C31" s="76"/>
    </row>
    <row r="32" spans="1:3" ht="6" customHeight="1">
      <c r="A32" s="73"/>
      <c r="B32" s="73"/>
      <c r="C32" s="73"/>
    </row>
    <row r="33" spans="1:3" ht="19.5" customHeight="1">
      <c r="A33" s="74" t="s">
        <v>255</v>
      </c>
      <c r="B33" s="74" t="s">
        <v>256</v>
      </c>
      <c r="C33" s="74" t="s">
        <v>257</v>
      </c>
    </row>
    <row r="34" spans="1:3" ht="27.75" customHeight="1">
      <c r="A34" s="69" t="s">
        <v>258</v>
      </c>
      <c r="B34" s="80" t="str">
        <f>'ПЛАН развития'!B12</f>
        <v>Упражнение</v>
      </c>
      <c r="C34" s="80" t="str">
        <f>'ПЛАН развития'!C12</f>
        <v>Описание</v>
      </c>
    </row>
    <row r="35" spans="1:3" ht="27.75" customHeight="1">
      <c r="A35" s="69" t="s">
        <v>259</v>
      </c>
      <c r="B35" s="80" t="str">
        <f ca="1">'ПЛАН развития'!B13</f>
        <v>Поза на четвереньках</v>
      </c>
      <c r="C35" s="80" t="str">
        <f ca="1">'ПЛАН развития'!C13</f>
        <v>вперед-назад</v>
      </c>
    </row>
    <row r="36" spans="1:3" ht="27.75" customHeight="1">
      <c r="A36" s="69" t="s">
        <v>260</v>
      </c>
      <c r="B36" s="80" t="str">
        <f ca="1">'ПЛАН развития'!B14</f>
        <v>Удержание головы</v>
      </c>
      <c r="C36" s="80" t="str">
        <f ca="1">'ПЛАН развития'!C14</f>
        <v>через плечо</v>
      </c>
    </row>
    <row r="37" spans="1:3" ht="27.75" customHeight="1">
      <c r="A37" s="69" t="s">
        <v>261</v>
      </c>
      <c r="B37" s="80" t="str">
        <f ca="1">'ПЛАН развития'!B15</f>
        <v>Поза на четвереньках</v>
      </c>
      <c r="C37" s="80" t="str">
        <f ca="1">'ПЛАН развития'!C15</f>
        <v>лежа на животе</v>
      </c>
    </row>
    <row r="38" spans="1:3" ht="27.75" customHeight="1">
      <c r="A38" s="69" t="s">
        <v>262</v>
      </c>
      <c r="B38" s="80" t="str">
        <f ca="1">'ПЛАН развития'!B16</f>
        <v>Ползание с поддержкой</v>
      </c>
      <c r="C38" s="80" t="str">
        <f ca="1">'ПЛАН развития'!C16</f>
        <v>лежа на животе</v>
      </c>
    </row>
    <row r="39" spans="1:3" ht="6" customHeight="1">
      <c r="A39" s="73"/>
      <c r="B39" s="73"/>
      <c r="C39" s="73"/>
    </row>
    <row r="40" spans="1:3" ht="19.5" customHeight="1">
      <c r="A40" s="81" t="s">
        <v>263</v>
      </c>
      <c r="B40" s="82"/>
      <c r="C40" s="76"/>
    </row>
    <row r="41" spans="1:3" ht="60" customHeight="1">
      <c r="A41" s="83" t="str">
        <f>профиль!L9</f>
        <v>Средний уровень развития составляет 0%. Сильная сторона — Физика. Зона наибольшего внимания — Физика. Разница между сферами — 0%. Уровень риска: Высокий риск задержки развития.</v>
      </c>
      <c r="B41" s="76"/>
      <c r="C41" s="76"/>
    </row>
    <row r="42" spans="1:3" ht="19.5" customHeight="1">
      <c r="A42" s="84" t="s">
        <v>264</v>
      </c>
      <c r="B42" s="65"/>
      <c r="C42" s="65"/>
    </row>
  </sheetData>
  <sheetProtection algorithmName="SHA-512" hashValue="GIQvvcCxCvyIBISR7EtBmX9/o8zI/J/hhM5hnOZrBNiZNjIiw9cw89yXrhGyubCsSKhMQnbti3ly8gefaSXhCA==" saltValue="fz5f27seqYF+++SjV4xuIw==" spinCount="100000" sheet="1" objects="1" scenarios="1" selectLockedCells="1"/>
  <mergeCells count="11">
    <mergeCell ref="A1:C1"/>
    <mergeCell ref="B28:C28"/>
    <mergeCell ref="B31:C31"/>
    <mergeCell ref="B40:C40"/>
    <mergeCell ref="B27:C27"/>
    <mergeCell ref="B8:C8"/>
    <mergeCell ref="A42:C42"/>
    <mergeCell ref="B30:C30"/>
    <mergeCell ref="A41:C41"/>
    <mergeCell ref="B2:C2"/>
    <mergeCell ref="B29:C29"/>
  </mergeCells>
  <pageMargins left="0.75" right="0.75" top="1" bottom="1" header="0.511811023622047" footer="0.51180555555555596"/>
  <pageSetup paperSize="9" orientation="portrait" horizontalDpi="300" verticalDpi="300" r:id="rId1"/>
  <headerFooter>
    <oddFooter>&amp;C&amp;8 &amp;K888888© 2025 Rabiga Sagyndykova · LOLA System · Запрещена перепродажа и передача третьим лицам&amp;R&amp;8 Стр. &amp;P из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A6A6A6"/>
  </sheetPr>
  <dimension ref="A1:G329"/>
  <sheetViews>
    <sheetView zoomScaleNormal="100" workbookViewId="0">
      <selection activeCell="F1" sqref="F1:G8"/>
    </sheetView>
  </sheetViews>
  <sheetFormatPr defaultColWidth="8.7265625" defaultRowHeight="14.5"/>
  <cols>
    <col min="1" max="1" width="24.7265625" style="17" customWidth="1"/>
    <col min="4" max="4" width="12.54296875" style="17" customWidth="1"/>
    <col min="6" max="6" width="18.54296875" style="17" customWidth="1"/>
  </cols>
  <sheetData>
    <row r="1" spans="1:7" ht="30" customHeight="1">
      <c r="A1" s="66" t="s">
        <v>265</v>
      </c>
      <c r="B1" s="197" t="s">
        <v>266</v>
      </c>
      <c r="C1" s="66" t="s">
        <v>267</v>
      </c>
      <c r="D1" s="197" t="s">
        <v>268</v>
      </c>
      <c r="F1" s="198" t="s">
        <v>59</v>
      </c>
      <c r="G1" s="199" t="s">
        <v>269</v>
      </c>
    </row>
    <row r="2" spans="1:7" ht="15" customHeight="1">
      <c r="A2" s="66" t="str">
        <f>'0-1'!A10</f>
        <v>Физика</v>
      </c>
      <c r="B2" s="66">
        <f>'0-1'!G10</f>
        <v>2.5</v>
      </c>
      <c r="C2" s="66">
        <f>'0-1'!F10</f>
        <v>0</v>
      </c>
      <c r="D2" s="66" t="str">
        <f t="shared" ref="D2:D33" si="0">"0-1"</f>
        <v>0-1</v>
      </c>
      <c r="F2" s="66" t="s">
        <v>29</v>
      </c>
      <c r="G2" s="200">
        <v>0.2</v>
      </c>
    </row>
    <row r="3" spans="1:7" ht="15" customHeight="1">
      <c r="A3" s="66" t="str">
        <f>'0-1'!A11</f>
        <v>Физика</v>
      </c>
      <c r="B3" s="66">
        <f>'0-1'!G11</f>
        <v>2.5</v>
      </c>
      <c r="C3" s="66">
        <f>'0-1'!F11</f>
        <v>0</v>
      </c>
      <c r="D3" s="66" t="str">
        <f t="shared" si="0"/>
        <v>0-1</v>
      </c>
      <c r="F3" s="66" t="s">
        <v>106</v>
      </c>
      <c r="G3" s="200">
        <v>0.15</v>
      </c>
    </row>
    <row r="4" spans="1:7" ht="15" customHeight="1">
      <c r="A4" s="66" t="str">
        <f>'0-1'!A12</f>
        <v>Физика</v>
      </c>
      <c r="B4" s="66">
        <f>'0-1'!G12</f>
        <v>3.5</v>
      </c>
      <c r="C4" s="66">
        <f>'0-1'!F12</f>
        <v>0</v>
      </c>
      <c r="D4" s="66" t="str">
        <f t="shared" si="0"/>
        <v>0-1</v>
      </c>
      <c r="F4" s="66" t="s">
        <v>31</v>
      </c>
      <c r="G4" s="200">
        <v>0.2</v>
      </c>
    </row>
    <row r="5" spans="1:7" ht="15" customHeight="1">
      <c r="A5" s="66" t="str">
        <f>'0-1'!A13</f>
        <v>Физика</v>
      </c>
      <c r="B5" s="66">
        <f>'0-1'!G13</f>
        <v>4.5</v>
      </c>
      <c r="C5" s="66">
        <f>'0-1'!F13</f>
        <v>0</v>
      </c>
      <c r="D5" s="66" t="str">
        <f t="shared" si="0"/>
        <v>0-1</v>
      </c>
      <c r="F5" s="66" t="s">
        <v>32</v>
      </c>
      <c r="G5" s="200">
        <v>0.15</v>
      </c>
    </row>
    <row r="6" spans="1:7" ht="15" customHeight="1">
      <c r="A6" s="66" t="str">
        <f>'0-1'!A14</f>
        <v>Физика</v>
      </c>
      <c r="B6" s="66">
        <f>'0-1'!G14</f>
        <v>3.5</v>
      </c>
      <c r="C6" s="66">
        <f>'0-1'!F14</f>
        <v>0</v>
      </c>
      <c r="D6" s="66" t="str">
        <f t="shared" si="0"/>
        <v>0-1</v>
      </c>
      <c r="F6" s="66" t="s">
        <v>33</v>
      </c>
      <c r="G6" s="200">
        <v>0.1</v>
      </c>
    </row>
    <row r="7" spans="1:7" ht="15" customHeight="1">
      <c r="A7" s="66" t="str">
        <f>'0-1'!A15</f>
        <v>Физика</v>
      </c>
      <c r="B7" s="66">
        <f>'0-1'!G15</f>
        <v>5.5</v>
      </c>
      <c r="C7" s="66">
        <f>'0-1'!F15</f>
        <v>0</v>
      </c>
      <c r="D7" s="66" t="str">
        <f t="shared" si="0"/>
        <v>0-1</v>
      </c>
      <c r="F7" s="66" t="s">
        <v>34</v>
      </c>
      <c r="G7" s="200">
        <v>0.1</v>
      </c>
    </row>
    <row r="8" spans="1:7" ht="15" customHeight="1">
      <c r="A8" s="66" t="str">
        <f>'0-1'!A16</f>
        <v>Физика</v>
      </c>
      <c r="B8" s="66">
        <f>'0-1'!G16</f>
        <v>6.5</v>
      </c>
      <c r="C8" s="66">
        <f>'0-1'!F16</f>
        <v>0</v>
      </c>
      <c r="D8" s="66" t="str">
        <f t="shared" si="0"/>
        <v>0-1</v>
      </c>
      <c r="F8" s="66" t="s">
        <v>270</v>
      </c>
      <c r="G8" s="200">
        <v>0.1</v>
      </c>
    </row>
    <row r="9" spans="1:7" ht="15" customHeight="1">
      <c r="A9" s="66" t="str">
        <f>'0-1'!A17</f>
        <v>Физика</v>
      </c>
      <c r="B9" s="66">
        <f>'0-1'!G17</f>
        <v>8</v>
      </c>
      <c r="C9" s="66">
        <f>'0-1'!F17</f>
        <v>0</v>
      </c>
      <c r="D9" s="66" t="str">
        <f t="shared" si="0"/>
        <v>0-1</v>
      </c>
    </row>
    <row r="10" spans="1:7" ht="15" customHeight="1">
      <c r="A10" s="66" t="str">
        <f>'0-1'!A18</f>
        <v>Физика</v>
      </c>
      <c r="B10" s="66">
        <f>'0-1'!G18</f>
        <v>7</v>
      </c>
      <c r="C10" s="66">
        <f>'0-1'!F18</f>
        <v>0</v>
      </c>
      <c r="D10" s="66" t="str">
        <f t="shared" si="0"/>
        <v>0-1</v>
      </c>
    </row>
    <row r="11" spans="1:7" ht="15" customHeight="1">
      <c r="A11" s="66" t="str">
        <f>'0-1'!A19</f>
        <v>Физика</v>
      </c>
      <c r="B11" s="66">
        <f>'0-1'!G19</f>
        <v>8.5</v>
      </c>
      <c r="C11" s="66">
        <f>'0-1'!F19</f>
        <v>0</v>
      </c>
      <c r="D11" s="66" t="str">
        <f t="shared" si="0"/>
        <v>0-1</v>
      </c>
    </row>
    <row r="12" spans="1:7" ht="15" customHeight="1">
      <c r="A12" s="66" t="str">
        <f>'0-1'!A20</f>
        <v>Физика</v>
      </c>
      <c r="B12" s="66">
        <f>'0-1'!G20</f>
        <v>10</v>
      </c>
      <c r="C12" s="66">
        <f>'0-1'!F20</f>
        <v>0</v>
      </c>
      <c r="D12" s="66" t="str">
        <f t="shared" si="0"/>
        <v>0-1</v>
      </c>
    </row>
    <row r="13" spans="1:7" ht="15" customHeight="1">
      <c r="A13" s="66" t="str">
        <f>'0-1'!A21</f>
        <v>Физика</v>
      </c>
      <c r="B13" s="66">
        <f>'0-1'!G21</f>
        <v>10.5</v>
      </c>
      <c r="C13" s="66">
        <f>'0-1'!F21</f>
        <v>0</v>
      </c>
      <c r="D13" s="66" t="str">
        <f t="shared" si="0"/>
        <v>0-1</v>
      </c>
    </row>
    <row r="14" spans="1:7" ht="15" customHeight="1">
      <c r="A14" s="66" t="str">
        <f>'0-1'!A22</f>
        <v>Физика</v>
      </c>
      <c r="B14" s="66">
        <f>'0-1'!G22</f>
        <v>12</v>
      </c>
      <c r="C14" s="66">
        <f>'0-1'!F22</f>
        <v>0</v>
      </c>
      <c r="D14" s="66" t="str">
        <f t="shared" si="0"/>
        <v>0-1</v>
      </c>
    </row>
    <row r="15" spans="1:7" ht="15" customHeight="1">
      <c r="A15" s="66" t="str">
        <f>'0-1'!A23</f>
        <v>МЕЛКАЯ МОТОРИКА</v>
      </c>
      <c r="B15" s="66">
        <f>'0-1'!G23</f>
        <v>0</v>
      </c>
      <c r="C15" s="66">
        <f>'0-1'!F23</f>
        <v>0</v>
      </c>
      <c r="D15" s="66" t="str">
        <f t="shared" si="0"/>
        <v>0-1</v>
      </c>
    </row>
    <row r="16" spans="1:7" ht="15" customHeight="1">
      <c r="A16" s="66" t="str">
        <f>'0-1'!A24</f>
        <v>Мелкая моторика</v>
      </c>
      <c r="B16" s="66">
        <f>'0-1'!G24</f>
        <v>2.5</v>
      </c>
      <c r="C16" s="66">
        <f>'0-1'!F24</f>
        <v>0</v>
      </c>
      <c r="D16" s="66" t="str">
        <f t="shared" si="0"/>
        <v>0-1</v>
      </c>
    </row>
    <row r="17" spans="1:4" ht="15" customHeight="1">
      <c r="A17" s="66" t="str">
        <f>'0-1'!A25</f>
        <v>Мелкая моторика</v>
      </c>
      <c r="B17" s="66">
        <f>'0-1'!G25</f>
        <v>3.5</v>
      </c>
      <c r="C17" s="66">
        <f>'0-1'!F25</f>
        <v>0</v>
      </c>
      <c r="D17" s="66" t="str">
        <f t="shared" si="0"/>
        <v>0-1</v>
      </c>
    </row>
    <row r="18" spans="1:4" ht="15" customHeight="1">
      <c r="A18" s="66" t="str">
        <f>'0-1'!A26</f>
        <v>Мелкая моторика</v>
      </c>
      <c r="B18" s="66">
        <f>'0-1'!G26</f>
        <v>3.5</v>
      </c>
      <c r="C18" s="66">
        <f>'0-1'!F26</f>
        <v>0</v>
      </c>
      <c r="D18" s="66" t="str">
        <f t="shared" si="0"/>
        <v>0-1</v>
      </c>
    </row>
    <row r="19" spans="1:4" ht="15" customHeight="1">
      <c r="A19" s="66" t="str">
        <f>'0-1'!A27</f>
        <v>Мелкая моторика</v>
      </c>
      <c r="B19" s="66">
        <f>'0-1'!G27</f>
        <v>4.5</v>
      </c>
      <c r="C19" s="66">
        <f>'0-1'!F27</f>
        <v>0</v>
      </c>
      <c r="D19" s="66" t="str">
        <f t="shared" si="0"/>
        <v>0-1</v>
      </c>
    </row>
    <row r="20" spans="1:4" ht="15" customHeight="1">
      <c r="A20" s="66" t="str">
        <f>'0-1'!A28</f>
        <v>Мелкая моторика</v>
      </c>
      <c r="B20" s="66">
        <f>'0-1'!G28</f>
        <v>6.5</v>
      </c>
      <c r="C20" s="66">
        <f>'0-1'!F28</f>
        <v>0</v>
      </c>
      <c r="D20" s="66" t="str">
        <f t="shared" si="0"/>
        <v>0-1</v>
      </c>
    </row>
    <row r="21" spans="1:4" ht="15" customHeight="1">
      <c r="A21" s="66" t="str">
        <f>'0-1'!A29</f>
        <v>Мелкая моторика</v>
      </c>
      <c r="B21" s="66">
        <f>'0-1'!G29</f>
        <v>7</v>
      </c>
      <c r="C21" s="66">
        <f>'0-1'!F29</f>
        <v>0</v>
      </c>
      <c r="D21" s="66" t="str">
        <f t="shared" si="0"/>
        <v>0-1</v>
      </c>
    </row>
    <row r="22" spans="1:4" ht="15" customHeight="1">
      <c r="A22" s="66" t="str">
        <f>'0-1'!A30</f>
        <v>Мелкая моторика</v>
      </c>
      <c r="B22" s="66">
        <f>'0-1'!G30</f>
        <v>9.5</v>
      </c>
      <c r="C22" s="66">
        <f>'0-1'!F30</f>
        <v>0</v>
      </c>
      <c r="D22" s="66" t="str">
        <f t="shared" si="0"/>
        <v>0-1</v>
      </c>
    </row>
    <row r="23" spans="1:4" ht="15" customHeight="1">
      <c r="A23" s="66" t="str">
        <f>'0-1'!A31</f>
        <v>Мелкая моторика</v>
      </c>
      <c r="B23" s="66">
        <f>'0-1'!G31</f>
        <v>11</v>
      </c>
      <c r="C23" s="66">
        <f>'0-1'!F31</f>
        <v>0</v>
      </c>
      <c r="D23" s="66" t="str">
        <f t="shared" si="0"/>
        <v>0-1</v>
      </c>
    </row>
    <row r="24" spans="1:4" ht="15" customHeight="1">
      <c r="A24" s="66" t="str">
        <f>'0-1'!A32</f>
        <v>СЕНСОРНОЕ РАЗВИТИЕ</v>
      </c>
      <c r="B24" s="66">
        <f>'0-1'!G32</f>
        <v>0</v>
      </c>
      <c r="C24" s="66">
        <f>'0-1'!F32</f>
        <v>0</v>
      </c>
      <c r="D24" s="66" t="str">
        <f t="shared" si="0"/>
        <v>0-1</v>
      </c>
    </row>
    <row r="25" spans="1:4" ht="15" customHeight="1">
      <c r="A25" s="66" t="str">
        <f>'0-1'!A33</f>
        <v>Сенсорика</v>
      </c>
      <c r="B25" s="66">
        <f>'0-1'!G33</f>
        <v>1.5</v>
      </c>
      <c r="C25" s="66">
        <f>'0-1'!F33</f>
        <v>0</v>
      </c>
      <c r="D25" s="66" t="str">
        <f t="shared" si="0"/>
        <v>0-1</v>
      </c>
    </row>
    <row r="26" spans="1:4" ht="15" customHeight="1">
      <c r="A26" s="66" t="str">
        <f>'0-1'!A34</f>
        <v>Сенсорика</v>
      </c>
      <c r="B26" s="66">
        <f>'0-1'!G34</f>
        <v>2.5</v>
      </c>
      <c r="C26" s="66">
        <f>'0-1'!F34</f>
        <v>0</v>
      </c>
      <c r="D26" s="66" t="str">
        <f t="shared" si="0"/>
        <v>0-1</v>
      </c>
    </row>
    <row r="27" spans="1:4" ht="15" customHeight="1">
      <c r="A27" s="66" t="str">
        <f>'0-1'!A35</f>
        <v>Сенсорика</v>
      </c>
      <c r="B27" s="66">
        <f>'0-1'!G35</f>
        <v>1.5</v>
      </c>
      <c r="C27" s="66">
        <f>'0-1'!F35</f>
        <v>0</v>
      </c>
      <c r="D27" s="66" t="str">
        <f t="shared" si="0"/>
        <v>0-1</v>
      </c>
    </row>
    <row r="28" spans="1:4" ht="15" customHeight="1">
      <c r="A28" s="66" t="str">
        <f>'0-1'!A36</f>
        <v>Сенсорика</v>
      </c>
      <c r="B28" s="66">
        <f>'0-1'!G36</f>
        <v>3.5</v>
      </c>
      <c r="C28" s="66">
        <f>'0-1'!F36</f>
        <v>0</v>
      </c>
      <c r="D28" s="66" t="str">
        <f t="shared" si="0"/>
        <v>0-1</v>
      </c>
    </row>
    <row r="29" spans="1:4" ht="15" customHeight="1">
      <c r="A29" s="66" t="str">
        <f>'0-1'!A37</f>
        <v>Сенсорика</v>
      </c>
      <c r="B29" s="66">
        <f>'0-1'!G37</f>
        <v>3.5</v>
      </c>
      <c r="C29" s="66">
        <f>'0-1'!F37</f>
        <v>0</v>
      </c>
      <c r="D29" s="66" t="str">
        <f t="shared" si="0"/>
        <v>0-1</v>
      </c>
    </row>
    <row r="30" spans="1:4" ht="15" customHeight="1">
      <c r="A30" s="66" t="str">
        <f>'0-1'!A38</f>
        <v>Сенсорика</v>
      </c>
      <c r="B30" s="66">
        <f>'0-1'!G38</f>
        <v>5</v>
      </c>
      <c r="C30" s="66">
        <f>'0-1'!F38</f>
        <v>0</v>
      </c>
      <c r="D30" s="66" t="str">
        <f t="shared" si="0"/>
        <v>0-1</v>
      </c>
    </row>
    <row r="31" spans="1:4" ht="15" customHeight="1">
      <c r="A31" s="66" t="str">
        <f>'0-1'!A39</f>
        <v>Сенсорика</v>
      </c>
      <c r="B31" s="66">
        <f>'0-1'!G39</f>
        <v>7.5</v>
      </c>
      <c r="C31" s="66">
        <f>'0-1'!F39</f>
        <v>0</v>
      </c>
      <c r="D31" s="66" t="str">
        <f t="shared" si="0"/>
        <v>0-1</v>
      </c>
    </row>
    <row r="32" spans="1:4" ht="15" customHeight="1">
      <c r="A32" s="66" t="str">
        <f>'0-1'!A40</f>
        <v>РЕЧЬ И КОММУНИКАЦИЯ</v>
      </c>
      <c r="B32" s="66">
        <f>'0-1'!G40</f>
        <v>0</v>
      </c>
      <c r="C32" s="66">
        <f>'0-1'!F40</f>
        <v>0</v>
      </c>
      <c r="D32" s="66" t="str">
        <f t="shared" si="0"/>
        <v>0-1</v>
      </c>
    </row>
    <row r="33" spans="1:4" ht="15" customHeight="1">
      <c r="A33" s="66" t="str">
        <f>'0-1'!A41</f>
        <v>Речь</v>
      </c>
      <c r="B33" s="66">
        <f>'0-1'!G41</f>
        <v>2.5</v>
      </c>
      <c r="C33" s="66">
        <f>'0-1'!F41</f>
        <v>0</v>
      </c>
      <c r="D33" s="66" t="str">
        <f t="shared" si="0"/>
        <v>0-1</v>
      </c>
    </row>
    <row r="34" spans="1:4" ht="15" customHeight="1">
      <c r="A34" s="66" t="str">
        <f>'0-1'!A42</f>
        <v>Речь</v>
      </c>
      <c r="B34" s="66">
        <f>'0-1'!G42</f>
        <v>5.5</v>
      </c>
      <c r="C34" s="66">
        <f>'0-1'!F42</f>
        <v>0</v>
      </c>
      <c r="D34" s="66" t="str">
        <f t="shared" ref="D34:D59" si="1">"0-1"</f>
        <v>0-1</v>
      </c>
    </row>
    <row r="35" spans="1:4" ht="15" customHeight="1">
      <c r="A35" s="66" t="str">
        <f>'0-1'!A43</f>
        <v>Речь</v>
      </c>
      <c r="B35" s="66">
        <f>'0-1'!G43</f>
        <v>6.5</v>
      </c>
      <c r="C35" s="66">
        <f>'0-1'!F43</f>
        <v>0</v>
      </c>
      <c r="D35" s="66" t="str">
        <f t="shared" si="1"/>
        <v>0-1</v>
      </c>
    </row>
    <row r="36" spans="1:4" ht="15" customHeight="1">
      <c r="A36" s="66" t="str">
        <f>'0-1'!A44</f>
        <v>Речь</v>
      </c>
      <c r="B36" s="66">
        <f>'0-1'!G44</f>
        <v>6.5</v>
      </c>
      <c r="C36" s="66">
        <f>'0-1'!F44</f>
        <v>0</v>
      </c>
      <c r="D36" s="66" t="str">
        <f t="shared" si="1"/>
        <v>0-1</v>
      </c>
    </row>
    <row r="37" spans="1:4" ht="15" customHeight="1">
      <c r="A37" s="66" t="str">
        <f>'0-1'!A45</f>
        <v>Речь</v>
      </c>
      <c r="B37" s="66">
        <f>'0-1'!G45</f>
        <v>8</v>
      </c>
      <c r="C37" s="66">
        <f>'0-1'!F45</f>
        <v>0</v>
      </c>
      <c r="D37" s="66" t="str">
        <f t="shared" si="1"/>
        <v>0-1</v>
      </c>
    </row>
    <row r="38" spans="1:4" ht="15" customHeight="1">
      <c r="A38" s="66" t="str">
        <f>'0-1'!A46</f>
        <v>Речь</v>
      </c>
      <c r="B38" s="66">
        <f>'0-1'!G46</f>
        <v>9</v>
      </c>
      <c r="C38" s="66">
        <f>'0-1'!F46</f>
        <v>0</v>
      </c>
      <c r="D38" s="66" t="str">
        <f t="shared" si="1"/>
        <v>0-1</v>
      </c>
    </row>
    <row r="39" spans="1:4" ht="15" customHeight="1">
      <c r="A39" s="66" t="str">
        <f>'0-1'!A47</f>
        <v>Речь</v>
      </c>
      <c r="B39" s="66">
        <f>'0-1'!G47</f>
        <v>10</v>
      </c>
      <c r="C39" s="66">
        <f>'0-1'!F47</f>
        <v>0</v>
      </c>
      <c r="D39" s="66" t="str">
        <f t="shared" si="1"/>
        <v>0-1</v>
      </c>
    </row>
    <row r="40" spans="1:4" ht="15" customHeight="1">
      <c r="A40" s="66" t="str">
        <f>'0-1'!A48</f>
        <v>Речь</v>
      </c>
      <c r="B40" s="66">
        <f>'0-1'!G48</f>
        <v>12</v>
      </c>
      <c r="C40" s="66">
        <f>'0-1'!F48</f>
        <v>0</v>
      </c>
      <c r="D40" s="66" t="str">
        <f t="shared" si="1"/>
        <v>0-1</v>
      </c>
    </row>
    <row r="41" spans="1:4" ht="15" customHeight="1">
      <c r="A41" s="66" t="str">
        <f>'0-1'!A49</f>
        <v>КОГНИТИВНОЕ (ПОЗНАВАТЕЛЬНОЕ) РАЗВИТИЕ</v>
      </c>
      <c r="B41" s="66">
        <f>'0-1'!G49</f>
        <v>0</v>
      </c>
      <c r="C41" s="66">
        <f>'0-1'!F49</f>
        <v>0</v>
      </c>
      <c r="D41" s="66" t="str">
        <f t="shared" si="1"/>
        <v>0-1</v>
      </c>
    </row>
    <row r="42" spans="1:4" ht="15" customHeight="1">
      <c r="A42" s="66" t="str">
        <f>'0-1'!A50</f>
        <v>Когнитив</v>
      </c>
      <c r="B42" s="66">
        <f>'0-1'!G50</f>
        <v>2.5</v>
      </c>
      <c r="C42" s="66">
        <f>'0-1'!F50</f>
        <v>0</v>
      </c>
      <c r="D42" s="66" t="str">
        <f t="shared" si="1"/>
        <v>0-1</v>
      </c>
    </row>
    <row r="43" spans="1:4" ht="15" customHeight="1">
      <c r="A43" s="66" t="str">
        <f>'0-1'!A51</f>
        <v>Когнитив</v>
      </c>
      <c r="B43" s="66">
        <f>'0-1'!G51</f>
        <v>7</v>
      </c>
      <c r="C43" s="66">
        <f>'0-1'!F51</f>
        <v>0</v>
      </c>
      <c r="D43" s="66" t="str">
        <f t="shared" si="1"/>
        <v>0-1</v>
      </c>
    </row>
    <row r="44" spans="1:4" ht="15" customHeight="1">
      <c r="A44" s="66" t="str">
        <f>'0-1'!A52</f>
        <v>Когнитив</v>
      </c>
      <c r="B44" s="66">
        <f>'0-1'!G52</f>
        <v>8</v>
      </c>
      <c r="C44" s="66">
        <f>'0-1'!F52</f>
        <v>0</v>
      </c>
      <c r="D44" s="66" t="str">
        <f t="shared" si="1"/>
        <v>0-1</v>
      </c>
    </row>
    <row r="45" spans="1:4" ht="15" customHeight="1">
      <c r="A45" s="66" t="str">
        <f>'0-1'!A53</f>
        <v>Когнитив</v>
      </c>
      <c r="B45" s="66">
        <f>'0-1'!G53</f>
        <v>9</v>
      </c>
      <c r="C45" s="66">
        <f>'0-1'!F53</f>
        <v>0</v>
      </c>
      <c r="D45" s="66" t="str">
        <f t="shared" si="1"/>
        <v>0-1</v>
      </c>
    </row>
    <row r="46" spans="1:4" ht="15" customHeight="1">
      <c r="A46" s="66" t="str">
        <f>'0-1'!A54</f>
        <v>Когнитив</v>
      </c>
      <c r="B46" s="66">
        <f>'0-1'!G54</f>
        <v>10.5</v>
      </c>
      <c r="C46" s="66">
        <f>'0-1'!F54</f>
        <v>0</v>
      </c>
      <c r="D46" s="66" t="str">
        <f t="shared" si="1"/>
        <v>0-1</v>
      </c>
    </row>
    <row r="47" spans="1:4" ht="15" customHeight="1">
      <c r="A47" s="66" t="str">
        <f>'0-1'!A55</f>
        <v>ЭМОЦИОНАЛЬНОЕ РАЗВИТИЕ</v>
      </c>
      <c r="B47" s="66">
        <f>'0-1'!G55</f>
        <v>0</v>
      </c>
      <c r="C47" s="66">
        <f>'0-1'!F55</f>
        <v>0</v>
      </c>
      <c r="D47" s="66" t="str">
        <f t="shared" si="1"/>
        <v>0-1</v>
      </c>
    </row>
    <row r="48" spans="1:4" ht="15" customHeight="1">
      <c r="A48" s="66" t="str">
        <f>'0-1'!A56</f>
        <v>Эмоции</v>
      </c>
      <c r="B48" s="66">
        <f>'0-1'!G56</f>
        <v>1.5</v>
      </c>
      <c r="C48" s="66">
        <f>'0-1'!F56</f>
        <v>0</v>
      </c>
      <c r="D48" s="66" t="str">
        <f t="shared" si="1"/>
        <v>0-1</v>
      </c>
    </row>
    <row r="49" spans="1:4" ht="15" customHeight="1">
      <c r="A49" s="66" t="str">
        <f>'0-1'!A57</f>
        <v>Эмоции</v>
      </c>
      <c r="B49" s="66">
        <f>'0-1'!G57</f>
        <v>2.5</v>
      </c>
      <c r="C49" s="66">
        <f>'0-1'!F57</f>
        <v>0</v>
      </c>
      <c r="D49" s="66" t="str">
        <f t="shared" si="1"/>
        <v>0-1</v>
      </c>
    </row>
    <row r="50" spans="1:4" ht="15" customHeight="1">
      <c r="A50" s="66" t="str">
        <f>'0-1'!A58</f>
        <v>Эмоции</v>
      </c>
      <c r="B50" s="66">
        <f>'0-1'!G58</f>
        <v>3.5</v>
      </c>
      <c r="C50" s="66">
        <f>'0-1'!F58</f>
        <v>0</v>
      </c>
      <c r="D50" s="66" t="str">
        <f t="shared" si="1"/>
        <v>0-1</v>
      </c>
    </row>
    <row r="51" spans="1:4" ht="15" customHeight="1">
      <c r="A51" s="66" t="str">
        <f>'0-1'!A59</f>
        <v>Эмоции</v>
      </c>
      <c r="B51" s="66">
        <f>'0-1'!G59</f>
        <v>7</v>
      </c>
      <c r="C51" s="66">
        <f>'0-1'!F59</f>
        <v>0</v>
      </c>
      <c r="D51" s="66" t="str">
        <f t="shared" si="1"/>
        <v>0-1</v>
      </c>
    </row>
    <row r="52" spans="1:4" ht="15" customHeight="1">
      <c r="A52" s="66" t="str">
        <f>'0-1'!A60</f>
        <v>Эмоции</v>
      </c>
      <c r="B52" s="66">
        <f>'0-1'!G60</f>
        <v>7.5</v>
      </c>
      <c r="C52" s="66">
        <f>'0-1'!F60</f>
        <v>0</v>
      </c>
      <c r="D52" s="66" t="str">
        <f t="shared" si="1"/>
        <v>0-1</v>
      </c>
    </row>
    <row r="53" spans="1:4" ht="15" customHeight="1">
      <c r="A53" s="66" t="str">
        <f>'0-1'!A61</f>
        <v>Эмоции</v>
      </c>
      <c r="B53" s="66">
        <f>'0-1'!G61</f>
        <v>10</v>
      </c>
      <c r="C53" s="66">
        <f>'0-1'!F61</f>
        <v>0</v>
      </c>
      <c r="D53" s="66" t="str">
        <f t="shared" si="1"/>
        <v>0-1</v>
      </c>
    </row>
    <row r="54" spans="1:4" ht="15" customHeight="1">
      <c r="A54" s="66" t="str">
        <f>'0-1'!A62</f>
        <v>СОЦИАЛЬНОЕ РАЗВИТИЕ</v>
      </c>
      <c r="B54" s="66">
        <f>'0-1'!G62</f>
        <v>0</v>
      </c>
      <c r="C54" s="66">
        <f>'0-1'!F62</f>
        <v>0</v>
      </c>
      <c r="D54" s="66" t="str">
        <f t="shared" si="1"/>
        <v>0-1</v>
      </c>
    </row>
    <row r="55" spans="1:4" ht="15" customHeight="1">
      <c r="A55" s="66" t="str">
        <f>'0-1'!A63</f>
        <v>Социал</v>
      </c>
      <c r="B55" s="66">
        <f>'0-1'!G63</f>
        <v>1.5</v>
      </c>
      <c r="C55" s="66">
        <f>'0-1'!F63</f>
        <v>0</v>
      </c>
      <c r="D55" s="66" t="str">
        <f t="shared" si="1"/>
        <v>0-1</v>
      </c>
    </row>
    <row r="56" spans="1:4" ht="15" customHeight="1">
      <c r="A56" s="66" t="str">
        <f>'0-1'!A64</f>
        <v>Социал</v>
      </c>
      <c r="B56" s="66">
        <f>'0-1'!G64</f>
        <v>2.5</v>
      </c>
      <c r="C56" s="66">
        <f>'0-1'!F64</f>
        <v>0</v>
      </c>
      <c r="D56" s="66" t="str">
        <f t="shared" si="1"/>
        <v>0-1</v>
      </c>
    </row>
    <row r="57" spans="1:4" ht="15" customHeight="1">
      <c r="A57" s="66" t="str">
        <f>'0-1'!A65</f>
        <v>Социал</v>
      </c>
      <c r="B57" s="66">
        <f>'0-1'!G65</f>
        <v>5</v>
      </c>
      <c r="C57" s="66">
        <f>'0-1'!F65</f>
        <v>0</v>
      </c>
      <c r="D57" s="66" t="str">
        <f t="shared" si="1"/>
        <v>0-1</v>
      </c>
    </row>
    <row r="58" spans="1:4" ht="15" customHeight="1">
      <c r="A58" s="66" t="str">
        <f>'0-1'!A66</f>
        <v>Социал</v>
      </c>
      <c r="B58" s="66">
        <f>'0-1'!G66</f>
        <v>8</v>
      </c>
      <c r="C58" s="66">
        <f>'0-1'!F66</f>
        <v>0</v>
      </c>
      <c r="D58" s="66" t="str">
        <f t="shared" si="1"/>
        <v>0-1</v>
      </c>
    </row>
    <row r="59" spans="1:4" ht="15" customHeight="1">
      <c r="A59" s="66" t="str">
        <f>'0-1'!A67</f>
        <v>Социал</v>
      </c>
      <c r="B59" s="66">
        <f>'0-1'!G67</f>
        <v>10.5</v>
      </c>
      <c r="C59" s="66">
        <f>'0-1'!F67</f>
        <v>0</v>
      </c>
      <c r="D59" s="66" t="str">
        <f t="shared" si="1"/>
        <v>0-1</v>
      </c>
    </row>
    <row r="60" spans="1:4" ht="15" customHeight="1">
      <c r="A60" s="14"/>
      <c r="B60" s="14"/>
      <c r="C60" s="14"/>
      <c r="D60" s="14"/>
    </row>
    <row r="61" spans="1:4" ht="15" customHeight="1"/>
    <row r="62" spans="1:4" ht="15" customHeight="1"/>
    <row r="63" spans="1:4" ht="15" customHeight="1"/>
    <row r="64" spans="1: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</sheetData>
  <sheetProtection algorithmName="SHA-512" hashValue="ESEI50+c1WVASQbDZ1OIMOVkHin+bso/MUXiOFg4pn/U8Qkn+XwA8YKFMrqLrS3e6EE3JOHj0oUKCb42o4rK9w==" saltValue="BKeGhEK97xIiQJeHVtDWTA==" spinCount="100000" sheet="1" objects="1" scenarios="1" selectLockedCells="1"/>
  <pageMargins left="0.75" right="0.75" top="1" bottom="1" header="0.511811023622047" footer="0.51180555555555596"/>
  <pageSetup paperSize="9" orientation="portrait" horizontalDpi="300" verticalDpi="300"/>
  <headerFooter>
    <oddFooter>&amp;C&amp;8 &amp;K888888© 2025 Rabiga Sagyndykova · LOLA System · Запрещена перепродажа и передача третьим лицам&amp;R&amp;8 Стр. &amp;P из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N47"/>
  <sheetViews>
    <sheetView zoomScaleNormal="100" workbookViewId="0">
      <selection activeCell="C4" sqref="A1:N33"/>
    </sheetView>
  </sheetViews>
  <sheetFormatPr defaultColWidth="8.7265625" defaultRowHeight="14.5"/>
  <cols>
    <col min="1" max="1" width="14.54296875" style="17" customWidth="1"/>
    <col min="2" max="2" width="9" style="17" customWidth="1"/>
    <col min="3" max="3" width="9.453125" style="17" customWidth="1"/>
    <col min="4" max="4" width="10.453125" style="17" customWidth="1"/>
    <col min="5" max="5" width="7.1796875" style="17" customWidth="1"/>
    <col min="6" max="6" width="8.453125" style="17" customWidth="1"/>
    <col min="7" max="10" width="8.54296875" style="17" customWidth="1"/>
    <col min="11" max="11" width="16.453125" style="17" customWidth="1"/>
    <col min="12" max="12" width="22.54296875" style="17" customWidth="1"/>
    <col min="13" max="13" width="30.453125" style="17" customWidth="1"/>
  </cols>
  <sheetData>
    <row r="1" spans="1:14" ht="33.75" customHeight="1">
      <c r="A1" s="167" t="s">
        <v>59</v>
      </c>
      <c r="B1" s="167" t="s">
        <v>271</v>
      </c>
      <c r="C1" s="167" t="s">
        <v>272</v>
      </c>
      <c r="D1" s="167" t="s">
        <v>48</v>
      </c>
      <c r="E1" s="167" t="s">
        <v>273</v>
      </c>
      <c r="F1" s="167" t="s">
        <v>274</v>
      </c>
      <c r="G1" s="167" t="s">
        <v>275</v>
      </c>
      <c r="H1" s="167" t="s">
        <v>276</v>
      </c>
      <c r="I1" s="167" t="s">
        <v>277</v>
      </c>
      <c r="J1" s="167" t="s">
        <v>278</v>
      </c>
      <c r="K1" s="167" t="s">
        <v>279</v>
      </c>
      <c r="L1" s="167" t="s">
        <v>280</v>
      </c>
      <c r="M1" s="167" t="s">
        <v>223</v>
      </c>
      <c r="N1" s="66" t="s">
        <v>281</v>
      </c>
    </row>
    <row r="2" spans="1:14" ht="40.5" customHeight="1">
      <c r="A2" s="168" t="s">
        <v>29</v>
      </c>
      <c r="B2" s="169" t="str">
        <f>IFERROR(AVERAGEIFS(БАЗА!B:B,БАЗА!A:A,A2,БАЗА!C:C,1),"")</f>
        <v/>
      </c>
      <c r="C2" s="169" t="str">
        <f t="shared" ref="C2:C8" si="0">IFERROR(B2/12,"")</f>
        <v/>
      </c>
      <c r="D2" s="169">
        <f>ПАСПОРТ!B5</f>
        <v>0</v>
      </c>
      <c r="E2" s="169" t="str">
        <f>IF(B2="","", B2-D2)</f>
        <v/>
      </c>
      <c r="F2" s="170">
        <f>IFERROR(B2/D2,0)</f>
        <v>0</v>
      </c>
      <c r="G2" s="171">
        <f t="shared" ref="G2:G8" si="1">IF(OR(B2="",D2=0),0,B2/D2)</f>
        <v>0</v>
      </c>
      <c r="H2" s="172">
        <f t="shared" ref="H2:H8" si="2">0.9</f>
        <v>0.9</v>
      </c>
      <c r="I2" s="171">
        <f>VLOOKUP(A2,БАЗА!F:G,2,FALSE())</f>
        <v>0.2</v>
      </c>
      <c r="J2" s="172">
        <f t="shared" ref="J2:J8" si="3">F2*I2</f>
        <v>0</v>
      </c>
      <c r="K2" s="168" t="str">
        <f>IF(ПАСПОРТ!B8="Нормативный",
IF(F2&gt;=0.9,"Возрастная норма",
IF(F2&gt;=0.75,"Лёгкое отставание",
IF(F2&gt;=0.5,"Умеренное отставание",
"Выраженное отставание"))),
IF(F2&gt;=0.9,"Сильная зона",
IF(F2&gt;=0.75,"Близко к возрасту",
IF(F2&gt;=0.5,"Зона развития",
"Требует усиленной поддержки"))))</f>
        <v>Выраженное отставание</v>
      </c>
      <c r="L2" s="173" t="str">
        <f>IF(ПАСПОРТ!B8="Нормативный",
"Развитие соответствует " &amp; TEXT(F2,"0%") &amp; " от возрастной нормы.",
"Функциональный уровень составляет " &amp;B2 &amp; " мес.")</f>
        <v>Развитие соответствует 0% от возрастной нормы.</v>
      </c>
      <c r="M2" s="174" t="str">
        <f>IF(ПАСПОРТ!B8="Нормативный",
IF(F2&gt;=0.9,"Сфера """ &amp; A2 &amp; """ развивается в возрастной норме.",
IF(F2&gt;=0.75,"В сфере """ &amp; A2 &amp; """ отмечается небольшая задержка.",
IF(F2&gt;=0.5,"Сфера """ &amp; A2 &amp; """ требует регулярной развивающей работы.",
"Сфера """ &amp; A2 &amp; """ требует приоритетной коррекционной поддержки."))),
IF(F2&gt;=0.9,"Сфера """ &amp; A2 &amp; """ является сильной стороной.",
IF(F2&gt;=0.75,"Сфера """ &amp; A2 &amp; """ близка к возрастному уровню.",
IF(F2&gt;=0.5,"Сфера """ &amp; A2 &amp; """ находится в зоне развития.",
"Сфера """ &amp; A2 &amp; """ требует дополнительной поддержки.")))
)
&amp;
" "
&amp;
IF(F2&gt;=0.9,
"Продолжайте поддерживать развитие через игры и повседневную активность.",
IF(F2&gt;=0.75,
VLOOKUP(A2,Рекомендации!A:D,2,FALSE()),
IF(F2&gt;=0.5,
VLOOKUP(A2,Рекомендации!A:D,3,FALSE()),
VLOOKUP(A2,Рекомендации!A:D,4,FALSE())
)))</f>
        <v xml:space="preserve">Сфера "Физика" требует приоритетной коррекционной поддержки. Рекомендовано: консультация по ЛФК          </v>
      </c>
      <c r="N2" s="66">
        <v>0.9</v>
      </c>
    </row>
    <row r="3" spans="1:14" ht="37.5" customHeight="1">
      <c r="A3" s="168" t="s">
        <v>106</v>
      </c>
      <c r="B3" s="169" t="str">
        <f>IFERROR(AVERAGEIFS(БАЗА!B:B,БАЗА!A:A,A3,БАЗА!C:C,1),"")</f>
        <v/>
      </c>
      <c r="C3" s="169" t="str">
        <f t="shared" si="0"/>
        <v/>
      </c>
      <c r="D3" s="169">
        <f>ПАСПОРТ!B5</f>
        <v>0</v>
      </c>
      <c r="E3" s="169" t="str">
        <f>IF(B2="","",B2-D2)</f>
        <v/>
      </c>
      <c r="F3" s="170">
        <f>IFERROR(B3/D3,0)</f>
        <v>0</v>
      </c>
      <c r="G3" s="171">
        <f t="shared" si="1"/>
        <v>0</v>
      </c>
      <c r="H3" s="172">
        <f t="shared" si="2"/>
        <v>0.9</v>
      </c>
      <c r="I3" s="171">
        <f>VLOOKUP(A3,БАЗА!F:G,2,FALSE())</f>
        <v>0.15</v>
      </c>
      <c r="J3" s="172">
        <f t="shared" si="3"/>
        <v>0</v>
      </c>
      <c r="K3" s="168" t="str">
        <f>IF(ПАСПОРТ!B8="Нормативный",
IF(F3&gt;=0.9,"Возрастная норма",
IF(F3&gt;=0.75,"Лёгкое отставание",
IF(F3&gt;=0.5,"Умеренное отставание",
"Выраженное отставание"))),
IF(F3&gt;=0.9,"Сильная зона",
IF(F3&gt;=0.75,"Близко к возрасту",
IF(F3&gt;=0.5,"Зона развития",
"Требует усиленной поддержки"))))</f>
        <v>Выраженное отставание</v>
      </c>
      <c r="L3" s="173" t="str">
        <f>IF(ПАСПОРТ!B8="Нормативный",
"Развитие соответствует " &amp; TEXT(F3,"0%") &amp; " от возрастной нормы.",
"Функциональный уровень составляет " &amp;B3 &amp; " мес.")</f>
        <v>Развитие соответствует 0% от возрастной нормы.</v>
      </c>
      <c r="M3" s="174" t="str">
        <f>IF(ПАСПОРТ!B9="Нормативный",
IF(F3&gt;=0.9,"Сфера """ &amp; A3 &amp; """ развивается в возрастной норме.",
IF(F3&gt;=0.75,"В сфере """ &amp; A3 &amp; """ отмечается небольшая задержка.",
IF(F3&gt;=0.5,"Сфера """ &amp; A3 &amp; """ требует регулярной развивающей работы.",
"Сфера """ &amp; A3 &amp; """ требует приоритетной коррекционной поддержки."))),
IF(F3&gt;=0.9,"Сфера """ &amp; A3 &amp; """ является сильной стороной.",
IF(F3&gt;=0.75,"Сфера """ &amp; A3 &amp; """ близка к возрастному уровню.",
IF(F3&gt;=0.5,"Сфера """ &amp; A3 &amp; """ находится в зоне развития.",
"Сфера """ &amp; A3 &amp; """ требует дополнительной поддержки.")))
)
&amp;
" "
&amp;
IF(F3&gt;=0.9,
"Продолжайте поддерживать развитие через игры и повседневную активность.",
IF(F3&gt;=0.75,
VLOOKUP(A3,Рекомендации!A:D,2,FALSE()),
IF(F3&gt;=0.5,
VLOOKUP(A3,Рекомендации!A:D,3,FALSE()),
VLOOKUP(A3,Рекомендации!A:D,4,FALSE())
)))</f>
        <v xml:space="preserve">Сфера "Мелкая моторика" требует дополнительной поддержки. Рекомендовано: ежедневные упражнения     </v>
      </c>
      <c r="N3" s="66">
        <v>0.9</v>
      </c>
    </row>
    <row r="4" spans="1:14" ht="40.5" customHeight="1">
      <c r="A4" s="168" t="s">
        <v>31</v>
      </c>
      <c r="B4" s="169" t="str">
        <f>IFERROR(AVERAGEIFS(БАЗА!B:B,БАЗА!A:A,A4,БАЗА!C:C,1),"")</f>
        <v/>
      </c>
      <c r="C4" s="169" t="str">
        <f t="shared" si="0"/>
        <v/>
      </c>
      <c r="D4" s="169">
        <f>ПАСПОРТ!B5</f>
        <v>0</v>
      </c>
      <c r="E4" s="169" t="str">
        <f>IF(B4="","",B4-D4)</f>
        <v/>
      </c>
      <c r="F4" s="170">
        <f>IFERROR(B2/D4,0)</f>
        <v>0</v>
      </c>
      <c r="G4" s="171">
        <f t="shared" si="1"/>
        <v>0</v>
      </c>
      <c r="H4" s="172">
        <f t="shared" si="2"/>
        <v>0.9</v>
      </c>
      <c r="I4" s="171">
        <f>VLOOKUP(A4,БАЗА!F:G,2,FALSE())</f>
        <v>0.2</v>
      </c>
      <c r="J4" s="172">
        <f t="shared" si="3"/>
        <v>0</v>
      </c>
      <c r="K4" s="168" t="str">
        <f>IF(ПАСПОРТ!B8="Нормативный",
IF(F4&gt;=0.9,"Возрастная норма",
IF(F4&gt;=0.75,"Лёгкое отставание",
IF(F4&gt;=0.5,"Умеренное отставание",
"Выраженное отставание"))),
IF(F4&gt;=0.9,"Сильная зона",
IF(F4&gt;=0.75,"Близко к возрасту",
IF(F4&gt;=0.5,"Зона развития",
"Требует усиленной поддержки"))))</f>
        <v>Выраженное отставание</v>
      </c>
      <c r="L4" s="173" t="str">
        <f>IF(ПАСПОРТ!B8="Нормативный",
"Развитие соответствует " &amp; TEXT(F4,"0%") &amp; " от возрастной нормы.",
"Функциональный уровень составляет " &amp;B4 &amp; " мес.")</f>
        <v>Развитие соответствует 0% от возрастной нормы.</v>
      </c>
      <c r="M4" s="174" t="str">
        <f>IF(ПАСПОРТ!B10="Нормативный",
IF(F4&gt;=0.9,"Сфера """ &amp; A4 &amp; """ развивается в возрастной норме.",
IF(F4&gt;=0.75,"В сфере """ &amp; A4 &amp; """ отмечается небольшая задержка.",
IF(F4&gt;=0.5,"Сфера """ &amp; A4 &amp; """ требует регулярной развивающей работы.",
"Сфера """ &amp; A4 &amp; """ требует приоритетной коррекционной поддержки."))),
IF(F4&gt;=0.9,"Сфера """ &amp; A4 &amp; """ является сильной стороной.",
IF(F4&gt;=0.75,"Сфера """ &amp; A4 &amp; """ близка к возрастному уровню.",
IF(F4&gt;=0.5,"Сфера """ &amp; A4 &amp; """ находится в зоне развития.",
"Сфера """ &amp; A4 &amp; """ требует дополнительной поддержки.")))
)
&amp;
" "
&amp;
IF(F4&gt;=0.9,
"Продолжайте поддерживать развитие через игры и повседневную активность.",
IF(F4&gt;=0.75,
VLOOKUP(A4,Рекомендации!A:D,2,FALSE()),
IF(F4&gt;=0.5,
VLOOKUP(A4,Рекомендации!A:D,3,FALSE()),
VLOOKUP(A4,Рекомендации!A:D,4,FALSE())
)))</f>
        <v xml:space="preserve">Сфера "Речь" требует дополнительной поддержки. Рекомендовано: логопедическая помощь     </v>
      </c>
      <c r="N4" s="66">
        <v>0.9</v>
      </c>
    </row>
    <row r="5" spans="1:14" ht="39" customHeight="1">
      <c r="A5" s="168" t="s">
        <v>32</v>
      </c>
      <c r="B5" s="169" t="str">
        <f>IFERROR(AVERAGEIFS(БАЗА!B:B,БАЗА!A:A,A5,БАЗА!C:C,1),"")</f>
        <v/>
      </c>
      <c r="C5" s="169" t="str">
        <f t="shared" si="0"/>
        <v/>
      </c>
      <c r="D5" s="169">
        <f>ПАСПОРТ!B5</f>
        <v>0</v>
      </c>
      <c r="E5" s="169" t="str">
        <f>IF(B5="","",B5-D5)</f>
        <v/>
      </c>
      <c r="F5" s="170">
        <f>IFERROR(B5/D5,0)</f>
        <v>0</v>
      </c>
      <c r="G5" s="171">
        <f t="shared" si="1"/>
        <v>0</v>
      </c>
      <c r="H5" s="172">
        <f t="shared" si="2"/>
        <v>0.9</v>
      </c>
      <c r="I5" s="171">
        <f>VLOOKUP(A5,БАЗА!F:G,2,FALSE())</f>
        <v>0.15</v>
      </c>
      <c r="J5" s="172">
        <f t="shared" si="3"/>
        <v>0</v>
      </c>
      <c r="K5" s="168" t="str">
        <f>IF(ПАСПОРТ!B8="Нормативный",
IF(F5&gt;=0.9,"Возрастная норма",
IF(F5&gt;=0.75,"Лёгкое отставание",
IF(F5&gt;=0.5,"Умеренное отставание",
"Выраженное отставание"))),
IF(F5&gt;=0.9,"Сильная зона",
IF(F5&gt;=0.75,"Близко к возрасту",
IF(F5&gt;=0.5,"Зона развития",
"Требует усиленной поддержки"))))</f>
        <v>Выраженное отставание</v>
      </c>
      <c r="L5" s="173" t="str">
        <f>IF(ПАСПОРТ!B8="Нормативный",
"Развитие соответствует " &amp; TEXT(F5,"0%") &amp; " от возрастной нормы.",
"Функциональный уровень составляет " &amp;B5 &amp; " мес.")</f>
        <v>Развитие соответствует 0% от возрастной нормы.</v>
      </c>
      <c r="M5" s="174" t="str">
        <f>IF(ПАСПОРТ!B11="Нормативный",
IF(F5&gt;=0.9,"Сфера """ &amp; A5 &amp; """ развивается в возрастной норме.",
IF(F5&gt;=0.75,"В сфере """ &amp; A5 &amp; """ отмечается небольшая задержка.",
IF(F5&gt;=0.5,"Сфера """ &amp; A5 &amp; """ требует регулярной развивающей работы.",
"Сфера """ &amp; A5 &amp; """ требует приоритетной коррекционной поддержки."))),
IF(F5&gt;=0.9,"Сфера """ &amp; A5 &amp; """ является сильной стороной.",
IF(F5&gt;=0.75,"Сфера """ &amp; A5 &amp; """ близка к возрастному уровню.",
IF(F5&gt;=0.5,"Сфера """ &amp; A5 &amp; """ находится в зоне развития.",
"Сфера """ &amp; A5 &amp; """ требует дополнительной поддержки.")))
)
&amp;
" "
&amp;
IF(F5&gt;=0.9,
"Продолжайте поддерживать развитие через игры и повседневную активность.",
IF(F5&gt;=0.75,
VLOOKUP(A5,Рекомендации!A:D,2,FALSE()),
IF(F5&gt;=0.5,
VLOOKUP(A5,Рекомендации!A:D,3,FALSE()),
VLOOKUP(A5,Рекомендации!A:D,4,FALSE())
)))</f>
        <v xml:space="preserve">Сфера "Когнитив" требует дополнительной поддержки. Рекомендовано: структурированные занятия </v>
      </c>
      <c r="N5" s="66">
        <v>0.9</v>
      </c>
    </row>
    <row r="6" spans="1:14" ht="36.75" customHeight="1">
      <c r="A6" s="168" t="s">
        <v>33</v>
      </c>
      <c r="B6" s="169" t="str">
        <f>IFERROR(AVERAGEIFS(БАЗА!B:B,БАЗА!A:A,A6,БАЗА!C:C,1),"")</f>
        <v/>
      </c>
      <c r="C6" s="169" t="str">
        <f t="shared" si="0"/>
        <v/>
      </c>
      <c r="D6" s="169">
        <f>ПАСПОРТ!B5</f>
        <v>0</v>
      </c>
      <c r="E6" s="169" t="str">
        <f>IF(B6="","",B6-D6)</f>
        <v/>
      </c>
      <c r="F6" s="170">
        <f>IFERROR(B6/D6,0)</f>
        <v>0</v>
      </c>
      <c r="G6" s="171">
        <f t="shared" si="1"/>
        <v>0</v>
      </c>
      <c r="H6" s="172">
        <f t="shared" si="2"/>
        <v>0.9</v>
      </c>
      <c r="I6" s="171">
        <f>VLOOKUP(A6,БАЗА!F:G,2,FALSE())</f>
        <v>0.1</v>
      </c>
      <c r="J6" s="172">
        <f t="shared" si="3"/>
        <v>0</v>
      </c>
      <c r="K6" s="168" t="str">
        <f>IF(ПАСПОРТ!B8="Нормативный",
IF(F6&gt;=0.9,"Возрастная норма",
IF(F6&gt;=0.75,"Лёгкое отставание",
IF(F6&gt;=0.5,"Умеренное отставание",
"Выраженное отставание"))),
IF(F6&gt;=0.9,"Сильная зона",
IF(F6&gt;=0.75,"Близко к возрасту",
IF(F6&gt;=0.5,"Зона развития",
"Требует усиленной поддержки"))))</f>
        <v>Выраженное отставание</v>
      </c>
      <c r="L6" s="173" t="str">
        <f>IF(ПАСПОРТ!B8="Нормативный",
"Развитие соответствует " &amp; TEXT(F6,"0%") &amp; " от возрастной нормы.",
"Функциональный уровень составляет " &amp;B6 &amp; " мес.")</f>
        <v>Развитие соответствует 0% от возрастной нормы.</v>
      </c>
      <c r="M6" s="174" t="str">
        <f>IF(ПАСПОРТ!B12="Нормативный",
IF(F6&gt;=0.9,"Сфера """ &amp; A6 &amp; """ развивается в возрастной норме.",
IF(F6&gt;=0.75,"В сфере """ &amp; A6 &amp; """ отмечается небольшая задержка.",
IF(F6&gt;=0.5,"Сфера """ &amp; A6 &amp; """ требует регулярной развивающей работы.",
"Сфера """ &amp; A6 &amp; """ требует приоритетной коррекционной поддержки."))),
IF(F6&gt;=0.9,"Сфера """ &amp; A6 &amp; """ является сильной стороной.",
IF(F6&gt;=0.75,"Сфера """ &amp; A6 &amp; """ близка к возрастному уровню.",
IF(F6&gt;=0.5,"Сфера """ &amp; A6 &amp; """ находится в зоне развития.",
"Сфера """ &amp; A6 &amp; """ требует дополнительной поддержки.")))
)
&amp;
" "
&amp;
IF(F6&gt;=0.9,
"Продолжайте поддерживать развитие через игры и повседневную активность.",
IF(F6&gt;=0.75,
VLOOKUP(A6,Рекомендации!A:D,2,FALSE()),
IF(F6&gt;=0.5,
VLOOKUP(A6,Рекомендации!A:D,3,FALSE()),
VLOOKUP(A6,Рекомендации!A:D,4,FALSE())
)))</f>
        <v xml:space="preserve">Сфера "Эмоции" требует дополнительной поддержки. Рекомендовано: помощь психолога          </v>
      </c>
      <c r="N6" s="66">
        <v>0.9</v>
      </c>
    </row>
    <row r="7" spans="1:14" ht="39" customHeight="1">
      <c r="A7" s="168" t="s">
        <v>34</v>
      </c>
      <c r="B7" s="169" t="str">
        <f>IFERROR(AVERAGEIFS(БАЗА!B:B,БАЗА!A:A,A7,БАЗА!C:C,1),"")</f>
        <v/>
      </c>
      <c r="C7" s="169" t="str">
        <f t="shared" si="0"/>
        <v/>
      </c>
      <c r="D7" s="169">
        <f>ПАСПОРТ!B5</f>
        <v>0</v>
      </c>
      <c r="E7" s="169" t="str">
        <f>IF(B7="","",B7-D7)</f>
        <v/>
      </c>
      <c r="F7" s="170">
        <f>IFERROR(B7/D7,0)</f>
        <v>0</v>
      </c>
      <c r="G7" s="171">
        <f t="shared" si="1"/>
        <v>0</v>
      </c>
      <c r="H7" s="172">
        <f t="shared" si="2"/>
        <v>0.9</v>
      </c>
      <c r="I7" s="171">
        <f>VLOOKUP(A7,БАЗА!F:G,2,FALSE())</f>
        <v>0.1</v>
      </c>
      <c r="J7" s="172">
        <f t="shared" si="3"/>
        <v>0</v>
      </c>
      <c r="K7" s="168" t="str">
        <f>IF(ПАСПОРТ!B8="Нормативный",
IF(F7&gt;=0.9,"Возрастная норма",
IF(F7&gt;=0.75,"Лёгкое отставание",
IF(F7&gt;=0.5,"Умеренное отставание",
"Выраженное отставание"))),
IF(F7&gt;=0.9,"Сильная зона",
IF(F7&gt;=0.75,"Близко к возрасту",
IF(F7&gt;=0.5,"Зона развития",
"Требует усиленной поддержки"))))</f>
        <v>Выраженное отставание</v>
      </c>
      <c r="L7" s="173" t="str">
        <f>IF(ПАСПОРТ!B8="Нормативный",
"Развитие соответствует " &amp; TEXT(F7,"0%") &amp; " от возрастной нормы.",
"Функциональный уровень составляет " &amp;B7 &amp; " мес.")</f>
        <v>Развитие соответствует 0% от возрастной нормы.</v>
      </c>
      <c r="M7" s="174" t="str">
        <f>IF(ПАСПОРТ!B13="Нормативный",
IF(F7&gt;=0.9,"Сфера """ &amp; A7 &amp; """ развивается в возрастной норме.",
IF(F7&gt;=0.75,"В сфере """ &amp; A7 &amp; """ отмечается небольшая задержка.",
IF(F7&gt;=0.5,"Сфера """ &amp; A7 &amp; """ требует регулярной развивающей работы.",
"Сфера """ &amp; A7 &amp; """ требует приоритетной коррекционной поддержки."))),
IF(F7&gt;=0.9,"Сфера """ &amp; A7 &amp; """ является сильной стороной.",
IF(F7&gt;=0.75,"Сфера """ &amp; A7 &amp; """ близка к возрастному уровню.",
IF(F7&gt;=0.5,"Сфера """ &amp; A7 &amp; """ находится в зоне развития.",
"Сфера """ &amp; A7 &amp; """ требует дополнительной поддержки.")))
)
&amp;
" "
&amp;
IF(F7&gt;=0.9,
"Продолжайте поддерживать развитие через игры и повседневную активность.",
IF(F7&gt;=0.75,
VLOOKUP(A7,Рекомендации!A:D,2,FALSE()),
IF(F7&gt;=0.5,
VLOOKUP(A7,Рекомендации!A:D,3,FALSE()),
VLOOKUP(A7,Рекомендации!A:D,4,FALSE())
)))</f>
        <v xml:space="preserve">Сфера "Социал" требует дополнительной поддержки. Рекомендовано: поддержка специалиста     </v>
      </c>
      <c r="N7" s="66">
        <v>0.9</v>
      </c>
    </row>
    <row r="8" spans="1:14" ht="51" customHeight="1">
      <c r="A8" s="168" t="s">
        <v>270</v>
      </c>
      <c r="B8" s="169">
        <v>0</v>
      </c>
      <c r="C8" s="169">
        <f t="shared" si="0"/>
        <v>0</v>
      </c>
      <c r="D8" s="169">
        <f>ПАСПОРТ!B5</f>
        <v>0</v>
      </c>
      <c r="E8" s="168">
        <f>IF(B8="","",B8-D8)</f>
        <v>0</v>
      </c>
      <c r="F8" s="170">
        <f>IFERROR(B8/D8,0)</f>
        <v>0</v>
      </c>
      <c r="G8" s="171">
        <f t="shared" si="1"/>
        <v>0</v>
      </c>
      <c r="H8" s="172">
        <f t="shared" si="2"/>
        <v>0.9</v>
      </c>
      <c r="I8" s="171">
        <f>VLOOKUP(A8,БАЗА!F:G,2,FALSE())</f>
        <v>0.1</v>
      </c>
      <c r="J8" s="172">
        <f t="shared" si="3"/>
        <v>0</v>
      </c>
      <c r="K8" s="168" t="str">
        <f>IF(ПАСПОРТ!B8="Нормативный",
IF(F8&gt;=0.9,"Возрастная норма",
IF(F8&gt;=0.75,"Лёгкое отставание",
IF(F8&gt;=0.5,"Умеренное отставание",
"Выраженное отставание"))),
IF(F8&gt;=0.9,"Сильная зона",
IF(F8&gt;=0.75,"Близко к возрасту",
IF(F8&gt;=0.5,"Зона развития",
"Требует усиленной поддержки"))))</f>
        <v>Выраженное отставание</v>
      </c>
      <c r="L8" s="173" t="str">
        <f>IF(ПАСПОРТ!B8="Нормативный",
"Развитие соответствует " &amp; TEXT(F8,"0%") &amp; " от возрастной нормы.",
"Функциональный уровень составляет " &amp;B8 &amp; " мес.")</f>
        <v>Развитие соответствует 0% от возрастной нормы.</v>
      </c>
      <c r="M8" s="174" t="str">
        <f>IF(ПАСПОРТ!B14="Нормативный",
IF(F8&gt;=0.9,"Сфера """ &amp; A8 &amp; """ развивается в возрастной норме.",
IF(F8&gt;=0.75,"В сфере """ &amp; A8 &amp; """ отмечается небольшая задержка.",
IF(F8&gt;=0.5,"Сфера """ &amp; A8 &amp; """ требует регулярной развивающей работы.",
"Сфера """ &amp; A8 &amp; """ требует приоритетной коррекционной поддержки."))),
IF(F8&gt;=0.9,"Сфера """ &amp; A8 &amp; """ является сильной стороной.",
IF(F8&gt;=0.75,"Сфера """ &amp; A8 &amp; """ близка к возрастному уровню.",
IF(F8&gt;=0.5,"Сфера """ &amp; A8 &amp; """ находится в зоне развития.",
"Сфера """ &amp; A8 &amp; """ требует дополнительной поддержки.")))
)
&amp;
" "
&amp;
IF(F8&gt;=0.9,
"Продолжайте поддерживать развитие через игры и повседневную активность.",
IF(F8&gt;=0.75,
VLOOKUP(A8,Рекомендации!A:D,2,FALSE()),
IF(F8&gt;=0.5,
VLOOKUP(A8,Рекомендации!A:D,3,FALSE()),
VLOOKUP(A8,Рекомендации!A:D,4,FALSE())
)))</f>
        <v xml:space="preserve">Сфера "Самообслуживание" требует дополнительной поддержки. Рекомендовано: ежедневная поддержка      </v>
      </c>
      <c r="N8" s="66">
        <v>0.9</v>
      </c>
    </row>
    <row r="9" spans="1:14" ht="123.75" customHeight="1">
      <c r="A9" s="175" t="s">
        <v>282</v>
      </c>
      <c r="B9" s="169">
        <f>AVERAGE(B2:B8)</f>
        <v>0</v>
      </c>
      <c r="C9" s="176">
        <f>B9/12</f>
        <v>0</v>
      </c>
      <c r="D9" s="169" t="s">
        <v>283</v>
      </c>
      <c r="E9" s="169">
        <f>MIN(B2:B8)</f>
        <v>0</v>
      </c>
      <c r="F9" s="170" t="s">
        <v>284</v>
      </c>
      <c r="G9" s="169">
        <f>MAX(B2:B8)</f>
        <v>0</v>
      </c>
      <c r="H9" s="177"/>
      <c r="I9" s="177"/>
      <c r="J9" s="177"/>
      <c r="K9" s="175" t="str">
        <f>"Функциональный уровень развития ребёнка примерно соответствует диапазону " &amp; E9 &amp; "–" &amp; G9 &amp; " месяцев."</f>
        <v>Функциональный уровень развития ребёнка примерно соответствует диапазону 0–0 месяцев.</v>
      </c>
      <c r="L9" s="178" t="str">
        <f>IF(ПАСПОРТ!B8="Нормативный",
"Средний уровень развития составляет " &amp; TEXT(B10,"0%") &amp;
". Сильная сторона — " &amp; B11 &amp;
". Зона наибольшего внимания — " &amp; B12 &amp;
". Разница между сферами — " &amp; TEXT(B13,"0%") &amp;
". Уровень риска: " &amp; B30 &amp; ".",
"Функциональный профиль развития показывает, что наиболее выражена сфера " &amp; B11 &amp;
". Основная зона поддержки — " &amp; B12 &amp;
". Рекомендуется строить развитие через сильные стороны."&amp; " Это означает, что развитие возможно при правильной поддержке.")</f>
        <v>Средний уровень развития составляет 0%. Сильная сторона — Физика. Зона наибольшего внимания — Физика. Разница между сферами — 0%. Уровень риска: Высокий риск задержки развития.</v>
      </c>
      <c r="M9" s="179" t="s">
        <v>285</v>
      </c>
      <c r="N9" s="66"/>
    </row>
    <row r="10" spans="1:14" ht="56.25" customHeight="1">
      <c r="A10" s="173" t="s">
        <v>241</v>
      </c>
      <c r="B10" s="173">
        <f>SUM(J2:J8)</f>
        <v>0</v>
      </c>
      <c r="C10" s="180"/>
      <c r="D10" s="66"/>
      <c r="E10" s="66"/>
      <c r="F10" s="66"/>
      <c r="G10" s="66"/>
      <c r="H10" s="66"/>
      <c r="I10" s="66"/>
      <c r="J10" s="66"/>
      <c r="K10" s="175" t="str">
        <f>"Разница между паспортным возрастом и уровнем развития составляет примерно " &amp; TEXT(B14,"0,0") &amp; " года."</f>
        <v>Разница между паспортным возрастом и уровнем развития составляет примерно 0,0 года.</v>
      </c>
      <c r="L10" s="181" t="str">
        <f>IF(B13&lt;0.15,"Развитие относительно гармоничное",
IF(B13&lt;0.3,"Умеренная асинхронность",
"Выраженная асинхронность профиля"))</f>
        <v>Развитие относительно гармоничное</v>
      </c>
      <c r="M10" s="66"/>
      <c r="N10" s="66"/>
    </row>
    <row r="11" spans="1:14" ht="15" customHeight="1">
      <c r="A11" s="173" t="s">
        <v>286</v>
      </c>
      <c r="B11" s="173" t="str">
        <f>INDEX(A2:A8,MATCH(MAX(F2:F8),F2:F8,0))</f>
        <v>Физика</v>
      </c>
      <c r="C11" s="180"/>
      <c r="D11" s="66"/>
      <c r="E11" s="66" t="s">
        <v>287</v>
      </c>
      <c r="F11" s="66"/>
      <c r="G11" s="66"/>
      <c r="H11" s="66"/>
      <c r="I11" s="66"/>
      <c r="J11" s="66"/>
      <c r="K11" s="66"/>
      <c r="L11" s="66"/>
      <c r="M11" s="66"/>
      <c r="N11" s="66"/>
    </row>
    <row r="12" spans="1:14" ht="33.75" customHeight="1">
      <c r="A12" s="173" t="s">
        <v>288</v>
      </c>
      <c r="B12" s="173" t="str">
        <f>INDEX(A2:A8,MATCH(MIN(F2:F8),F2:F8,0))</f>
        <v>Физика</v>
      </c>
      <c r="C12" s="180"/>
      <c r="D12" s="66"/>
      <c r="E12" s="173" t="s">
        <v>289</v>
      </c>
      <c r="F12" s="182" t="s">
        <v>290</v>
      </c>
      <c r="G12" s="173" t="s">
        <v>291</v>
      </c>
      <c r="H12" s="180"/>
      <c r="I12" s="180"/>
      <c r="J12" s="180"/>
      <c r="K12" s="66"/>
      <c r="L12" s="66"/>
      <c r="M12" s="66"/>
      <c r="N12" s="66"/>
    </row>
    <row r="13" spans="1:14" ht="22.5" customHeight="1">
      <c r="A13" s="173" t="s">
        <v>292</v>
      </c>
      <c r="B13" s="173">
        <f>MAX(F2:F8)-MIN(F2:F8)</f>
        <v>0</v>
      </c>
      <c r="C13" s="183"/>
      <c r="D13" s="66"/>
      <c r="E13" s="184" t="s">
        <v>293</v>
      </c>
      <c r="F13" s="185" t="s">
        <v>294</v>
      </c>
      <c r="G13" s="184" t="s">
        <v>295</v>
      </c>
      <c r="H13" s="180"/>
      <c r="I13" s="180"/>
      <c r="J13" s="180"/>
      <c r="K13" s="66"/>
      <c r="L13" s="66"/>
      <c r="M13" s="66"/>
      <c r="N13" s="66"/>
    </row>
    <row r="14" spans="1:14" ht="33.75" customHeight="1">
      <c r="A14" s="173" t="s">
        <v>296</v>
      </c>
      <c r="B14" s="186">
        <f>(ПАСПОРТ!B5-B9)/12</f>
        <v>0</v>
      </c>
      <c r="C14" s="180"/>
      <c r="D14" s="66"/>
      <c r="E14" s="187" t="s">
        <v>297</v>
      </c>
      <c r="F14" s="188" t="s">
        <v>298</v>
      </c>
      <c r="G14" s="187" t="s">
        <v>299</v>
      </c>
      <c r="H14" s="180"/>
      <c r="I14" s="180"/>
      <c r="J14" s="180"/>
      <c r="K14" s="66"/>
      <c r="L14" s="66"/>
      <c r="M14" s="66"/>
      <c r="N14" s="66"/>
    </row>
    <row r="15" spans="1:14" ht="33.75" customHeight="1">
      <c r="A15" s="173" t="s">
        <v>300</v>
      </c>
      <c r="B15" s="173" t="str">
        <f>INDEX(A2:A8,MATCH(MIN(F2:F8),F2:F8,0))</f>
        <v>Физика</v>
      </c>
      <c r="C15" s="180"/>
      <c r="D15" s="189"/>
      <c r="E15" s="190" t="s">
        <v>301</v>
      </c>
      <c r="F15" s="191" t="s">
        <v>302</v>
      </c>
      <c r="G15" s="190" t="s">
        <v>303</v>
      </c>
      <c r="H15" s="180"/>
      <c r="I15" s="180"/>
      <c r="J15" s="180"/>
      <c r="K15" s="66"/>
      <c r="L15" s="66"/>
      <c r="M15" s="66"/>
      <c r="N15" s="66"/>
    </row>
    <row r="16" spans="1:14" ht="45" customHeight="1">
      <c r="A16" s="173" t="s">
        <v>230</v>
      </c>
      <c r="B16" s="173" t="str">
        <f>IF(B11="Физика","Моторный профиль развития",
IF(B11="Мелкая моторика","Моторный профиль развития",
IF(B11="Речь","Коммуникативный профиль",
IF(B11="Когнитив","Когнитивный профиль",
IF(B11="Эмоции","Эмоционально-социальный профиль",
IF(B11="Социал","Социальный профиль",
"Навыки самообслуживания как ведущая сфера"))))))</f>
        <v>Моторный профиль развития</v>
      </c>
      <c r="C16" s="66"/>
      <c r="D16" s="66"/>
      <c r="E16" s="192" t="s">
        <v>304</v>
      </c>
      <c r="F16" s="193" t="s">
        <v>305</v>
      </c>
      <c r="G16" s="192" t="s">
        <v>306</v>
      </c>
      <c r="H16" s="180"/>
      <c r="I16" s="180"/>
      <c r="J16" s="180"/>
      <c r="K16" s="66"/>
      <c r="L16" s="66"/>
      <c r="M16" s="66"/>
      <c r="N16" s="66"/>
    </row>
    <row r="17" spans="1:14" ht="22.5" customHeight="1">
      <c r="A17" s="173" t="s">
        <v>307</v>
      </c>
      <c r="B17" s="194" t="str">
        <f>IF(B16="Моторный профиль развития",
"Ребёнок лучше усваивает навыки через движение и действия. Используйте двигательную активность для обучения.",
IF(B16="Коммуникативный профиль",
"Ребёнок активно реагирует на речь и взаимодействие. Развитие лучше строить через диалог и совместные игры.",
IF(B16="Когнитивный профиль",
"Ребёнок хорошо реагирует на задания, исследование и познавательные игры.",
IF(B16="Эмоционально-социальный профиль",
"Эмоциональный контакт является сильной стороной ребёнка. Используйте совместную деятельность и эмоции для обучения.",
IF(B16="Социальный профиль",
"Навыки самообслуживания развиваются относительно лучше других сфер.")))))</f>
        <v>Ребёнок лучше усваивает навыки через движение и действия. Используйте двигательную активность для обучения.</v>
      </c>
      <c r="C17" s="66"/>
      <c r="D17" s="66"/>
      <c r="E17" s="66"/>
      <c r="F17" s="66"/>
      <c r="G17" s="66"/>
      <c r="H17" s="180"/>
      <c r="I17" s="180"/>
      <c r="J17" s="180"/>
      <c r="K17" s="66"/>
      <c r="L17" s="66"/>
      <c r="M17" s="66"/>
      <c r="N17" s="66"/>
    </row>
    <row r="18" spans="1:14" ht="22.5" customHeight="1">
      <c r="A18" s="173" t="s">
        <v>232</v>
      </c>
      <c r="B18" s="194" t="str">
        <f>IF(B16="Моторный профиль развития",
"Обучение через движение: игры с предметами, упражнения, подвижные задания.",
IF(B16="Коммуникативный профиль",
"Используйте разговор, совместное чтение, обсуждение и диалог.",
IF(B16="Когнитивный профиль",
"Используйте задачи, сортировку, пазлы, исследовательские игры.",
IF(B16="Эмоционально-социальный профиль",
"Используйте эмоциональное взаимодействие, совместные игры, ролевые сценарии.",
IF(B16="Cоциальный профиль",
"Тренируйте бытовые навыки через ежедневные действия.")))))</f>
        <v>Обучение через движение: игры с предметами, упражнения, подвижные задания.</v>
      </c>
      <c r="C18" s="66"/>
      <c r="D18" s="66"/>
      <c r="E18" s="180"/>
      <c r="F18" s="180"/>
      <c r="G18" s="180"/>
      <c r="H18" s="180"/>
      <c r="I18" s="180"/>
      <c r="J18" s="180"/>
      <c r="K18" s="66"/>
      <c r="L18" s="66"/>
      <c r="M18" s="66"/>
      <c r="N18" s="66"/>
    </row>
    <row r="19" spans="1:14" ht="22.5" customHeight="1">
      <c r="A19" s="173" t="s">
        <v>308</v>
      </c>
      <c r="B19" s="194" t="str">
        <f>IF(B10&gt;=0.9,"Темп развития соответствует возрастной норме",
IF(B10&gt;=0.75,"Темп развития немного замедлен",
IF(B10&gt;=0.5,"Темп развития значительно замедлен",
IF(B10&lt;0.5,"Темп развития выраженно замедлен"))))</f>
        <v>Темп развития выраженно замедлен</v>
      </c>
      <c r="C19" s="66"/>
      <c r="D19" s="66"/>
      <c r="E19" s="180"/>
      <c r="F19" s="180"/>
      <c r="G19" s="180"/>
      <c r="H19" s="180"/>
      <c r="I19" s="180"/>
      <c r="J19" s="180"/>
      <c r="K19" s="66"/>
      <c r="L19" s="66"/>
      <c r="M19" s="66"/>
      <c r="N19" s="66"/>
    </row>
    <row r="20" spans="1:14" ht="15" customHeight="1">
      <c r="A20" s="173" t="s">
        <v>234</v>
      </c>
      <c r="B20" s="194" t="str">
        <f>IF(B10&gt;=0.9,"Развитие соответствует возрастным ожиданиям.",
IF(B10&gt;=0.75,"При регулярной поддержке возможно быстрое выравнивание навыков.",
IF(B10&gt;=0.5,"Требуется системная развивающая работа.",
IF(B10&lt;0.5,"Рекомендуется комплексная коррекционная поддержка."))))</f>
        <v>Рекомендуется комплексная коррекционная поддержка.</v>
      </c>
      <c r="C20" s="66"/>
      <c r="D20" s="66"/>
      <c r="E20" s="180"/>
      <c r="F20" s="180"/>
      <c r="G20" s="180"/>
      <c r="H20" s="180"/>
      <c r="I20" s="180"/>
      <c r="J20" s="180"/>
      <c r="K20" s="66"/>
      <c r="L20" s="66"/>
      <c r="M20" s="66"/>
      <c r="N20" s="66"/>
    </row>
    <row r="21" spans="1:14" ht="15" customHeight="1">
      <c r="A21" s="180" t="s">
        <v>309</v>
      </c>
      <c r="B21" s="195" t="str">
        <f>IFERROR(
INDEX(A2:A8,MATCH(MAX(IF((E2:E8&gt;=0.5)*(E2:E8&lt;0.75),E2:E8)),E2:E8,0)),
INDEX(A2:A8,MATCH(MAX(E2:E8),E2:E8,0))
)</f>
        <v>Самообслуживание</v>
      </c>
      <c r="C21" s="195" t="str">
        <f>"Зона ближайшего развития: " &amp; B21 &amp;
". Развитие этой сферы может дать наибольший прогресс в ближайшее время."</f>
        <v>Зона ближайшего развития: Самообслуживание. Развитие этой сферы может дать наибольший прогресс в ближайшее время.</v>
      </c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66"/>
    </row>
    <row r="22" spans="1:14" ht="15" customHeight="1">
      <c r="A22" s="180" t="s">
        <v>310</v>
      </c>
      <c r="B22" s="195" t="str">
        <f>IF(B10&gt;=0.9,"высокий",
IF(B10&gt;=0.75,"средний",
"базовый"))</f>
        <v>базовый</v>
      </c>
      <c r="C22" s="195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66"/>
    </row>
    <row r="23" spans="1:14" ht="33.75" customHeight="1">
      <c r="A23" s="180" t="s">
        <v>219</v>
      </c>
      <c r="B23" s="195">
        <f>STDEV(F2:F8)</f>
        <v>0</v>
      </c>
      <c r="C23" s="195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66"/>
    </row>
    <row r="24" spans="1:14" ht="15" customHeight="1">
      <c r="A24" s="180" t="s">
        <v>38</v>
      </c>
      <c r="B24" s="195" t="str">
        <f>IF(B23&lt;0.15,"Развитие относительно гармоничное",
IF(B23&lt;0.3,"Умеренная асинхронность развития",
IF(B23&gt;0.3,"Выраженная асинхронность развития")))</f>
        <v>Развитие относительно гармоничное</v>
      </c>
      <c r="C24" s="195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66"/>
    </row>
    <row r="25" spans="1:14" ht="33.75" customHeight="1">
      <c r="A25" s="180" t="s">
        <v>311</v>
      </c>
      <c r="B25" s="195">
        <f>MAX(F2:F8)-AVERAGE(F2:F8)</f>
        <v>0</v>
      </c>
      <c r="C25" s="195" t="str">
        <f>IF(B25&gt;0.25,"Высокий потенциал компенсации",
IF(B25&gt;0.1,"Умеренный потенциал компенсации",
"Низкий потенциал компенсации"))</f>
        <v>Низкий потенциал компенсации</v>
      </c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66"/>
    </row>
    <row r="26" spans="1:14" ht="33.75" customHeight="1">
      <c r="A26" s="180" t="s">
        <v>312</v>
      </c>
      <c r="B26" s="195">
        <f>AVERAGE(F3,F7,F8)</f>
        <v>0</v>
      </c>
      <c r="C26" s="195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66"/>
    </row>
    <row r="27" spans="1:14" ht="22.5" customHeight="1">
      <c r="A27" s="180" t="s">
        <v>313</v>
      </c>
      <c r="B27" s="195" t="str">
        <f>IF(B26&gt;=0.8,"Высокий уровень функциональной независимости",
IF(B26&gt;=0.6,"Средний уровень функциональной независимости",
IF(B26&gt;=0.4,"Низкий уровень функциональной независимости",
"Требуется значительная поддержка")))</f>
        <v>Требуется значительная поддержка</v>
      </c>
      <c r="C27" s="195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66"/>
    </row>
    <row r="28" spans="1:14" ht="22.5" customHeight="1">
      <c r="A28" s="180" t="s">
        <v>314</v>
      </c>
      <c r="B28" s="196">
        <f>COUNTIF(F2:F8,"&lt;0,75")</f>
        <v>7</v>
      </c>
      <c r="C28" s="195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66"/>
    </row>
    <row r="29" spans="1:14" ht="22.5" customHeight="1">
      <c r="A29" s="180" t="s">
        <v>315</v>
      </c>
      <c r="B29" s="196" t="str">
        <f>IF(B28&lt;=2,"Рекомендуемая нагрузка: 20–30 минут занятий в день",
IF(B28&lt;=4,"Рекомендуемая нагрузка: 40–60 минут занятий в день",
"Рекомендуемая нагрузка: 60–90 минут занятий в день"))</f>
        <v>Рекомендуемая нагрузка: 60–90 минут занятий в день</v>
      </c>
      <c r="C29" s="195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66"/>
    </row>
    <row r="30" spans="1:14" ht="15" customHeight="1">
      <c r="A30" s="180" t="s">
        <v>316</v>
      </c>
      <c r="B30" s="195" t="str">
        <f>IF(B10&gt;=0.9,"Низкий риск задержки развития",
IF(B10&gt;=0.75,"Небольшой риск задержки",
IF(B10&gt;=0.5,"Повышенный риск задержки",
IF(B10&lt;0.5,"Высокий риск задержки развития"))))</f>
        <v>Высокий риск задержки развития</v>
      </c>
      <c r="C30" s="195"/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N30" s="66"/>
    </row>
    <row r="31" spans="1:14" ht="15" customHeight="1">
      <c r="A31" s="180" t="s">
        <v>223</v>
      </c>
      <c r="B31" s="195" t="str">
        <f>IF(B10&gt;=0.75,"Развитие можно поддерживать домашними занятиями",
IF(B10&gt;=0.5,"Рекомендуется консультация специалиста",
"Рекомендуется комплексная коррекционная помощь"))</f>
        <v>Рекомендуется комплексная коррекционная помощь</v>
      </c>
      <c r="C31" s="195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66"/>
    </row>
    <row r="32" spans="1:14" ht="25.5" customHeight="1">
      <c r="A32" s="180" t="s">
        <v>252</v>
      </c>
      <c r="B32" s="195" t="str">
        <f>IFERROR(VLOOKUP(B15,СПЕЦИАЛИСТЫ!A:B,2,FALSE()),"—")</f>
        <v>Физиотерапевт / ЛФК</v>
      </c>
      <c r="C32" s="195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66"/>
    </row>
    <row r="33" spans="1:14" ht="27" customHeight="1">
      <c r="A33" s="180" t="s">
        <v>253</v>
      </c>
      <c r="B33" s="195" t="str">
        <f>IFERROR(VLOOKUP(B15,СПЕЦИАЛИСТЫ!A:C,3,FALSE()),"—")</f>
        <v>Лечебная физкультура, физиотерапия</v>
      </c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</row>
    <row r="34" spans="1:14" ht="27" customHeight="1">
      <c r="A34" s="30"/>
      <c r="B34" s="30"/>
    </row>
    <row r="35" spans="1:14" ht="22.5" customHeight="1">
      <c r="A35" s="62" t="s">
        <v>317</v>
      </c>
      <c r="B35" s="63"/>
      <c r="C35" s="32"/>
      <c r="D35" s="33"/>
    </row>
    <row r="36" spans="1:14" ht="22.5" customHeight="1">
      <c r="A36" s="29" t="s">
        <v>318</v>
      </c>
      <c r="B36" s="29" t="s">
        <v>319</v>
      </c>
      <c r="C36" s="30"/>
      <c r="D36" s="34"/>
    </row>
    <row r="37" spans="1:14" ht="15" customHeight="1">
      <c r="A37" s="35">
        <v>46114</v>
      </c>
      <c r="B37" s="29">
        <v>6.4000000000000001E-2</v>
      </c>
      <c r="C37" s="30"/>
    </row>
    <row r="38" spans="1:14" ht="15" customHeight="1">
      <c r="A38" s="29"/>
      <c r="B38" s="29" t="s">
        <v>320</v>
      </c>
      <c r="C38" s="30"/>
    </row>
    <row r="39" spans="1:14" ht="15" customHeight="1">
      <c r="A39" s="29"/>
      <c r="B39" s="29" t="s">
        <v>320</v>
      </c>
      <c r="C39" s="30"/>
    </row>
    <row r="40" spans="1:14" ht="15" customHeight="1">
      <c r="A40" s="29"/>
      <c r="B40" s="29" t="s">
        <v>320</v>
      </c>
      <c r="C40" s="30"/>
    </row>
    <row r="41" spans="1:14" ht="15" customHeight="1">
      <c r="A41" s="29"/>
      <c r="B41" s="29" t="s">
        <v>320</v>
      </c>
      <c r="C41" s="30"/>
    </row>
    <row r="43" spans="1:14" ht="21.75" customHeight="1">
      <c r="A43" s="30" t="s">
        <v>321</v>
      </c>
      <c r="B43" s="30" t="str">
        <f>IFERROR(INDEX(A2:A8,MATCH(SMALL(F2:F8,2),F2:F8,0)),"")</f>
        <v>Физика</v>
      </c>
      <c r="C43" s="30"/>
      <c r="D43" s="30"/>
    </row>
    <row r="44" spans="1:14" ht="21" customHeight="1">
      <c r="A44" s="30" t="s">
        <v>322</v>
      </c>
      <c r="B44" s="30" t="str">
        <f>IFERROR(INDEX(A2:A8,MATCH(SMALL(F2:F8,3),F2:F8,0)),"")</f>
        <v>Физика</v>
      </c>
      <c r="C44" s="30"/>
      <c r="D44" s="30"/>
    </row>
    <row r="45" spans="1:14" ht="24" customHeight="1">
      <c r="A45" s="30" t="s">
        <v>323</v>
      </c>
      <c r="B45" s="30" t="str">
        <f>НЕЙРОФУНКЦИИ!C9</f>
        <v>Моторный контроль</v>
      </c>
      <c r="C45" s="30"/>
      <c r="D45" s="30"/>
    </row>
    <row r="46" spans="1:14" ht="25.5" customHeight="1">
      <c r="A46" s="30" t="s">
        <v>324</v>
      </c>
      <c r="B46" s="30" t="str">
        <f>СЕНСОРИКА!C9</f>
        <v>Зрение</v>
      </c>
      <c r="C46" s="30"/>
      <c r="D46" s="30"/>
    </row>
    <row r="47" spans="1:14" ht="34.5" customHeight="1">
      <c r="A47" s="30" t="s">
        <v>325</v>
      </c>
      <c r="B47" s="31" t="str">
        <f>ПРИЧИНЫ!C9</f>
        <v>Возможная моторная причина задержки; Возможная коммуникативная причина задержки; Возможная когнитивная причина задержки; Возможная эмоциональная причина задержки; Возможная адаптационная причина задержки</v>
      </c>
      <c r="C47" s="30"/>
      <c r="D47" s="30"/>
    </row>
  </sheetData>
  <sheetProtection algorithmName="SHA-512" hashValue="nV0Wvp+HvzPajkuF6BwrM4jEg6W8awAVacijvbh3oQQu+EZIKU86ZftCRvwa50p6/URAHZ4HV1VjbEF3/TrPJg==" saltValue="FPOyPpRTunI/xTEmote0YQ==" spinCount="100000" sheet="1" objects="1" scenarios="1" selectLockedCells="1"/>
  <mergeCells count="1">
    <mergeCell ref="A35:B35"/>
  </mergeCells>
  <conditionalFormatting sqref="K2:K8">
    <cfRule type="containsText" dxfId="11" priority="2" operator="containsText" text="Возрастная норма">
      <formula>NOT(ISERROR(SEARCH("Возрастная норма",K2)))</formula>
    </cfRule>
    <cfRule type="containsText" dxfId="10" priority="3" operator="containsText" text="Легкое отставание">
      <formula>NOT(ISERROR(SEARCH("Легкое отставание",K2)))</formula>
    </cfRule>
    <cfRule type="containsText" dxfId="9" priority="4" operator="containsText" text="Умеренное отставание">
      <formula>NOT(ISERROR(SEARCH("Умеренное отставание",K2)))</formula>
    </cfRule>
    <cfRule type="containsText" dxfId="8" priority="5" operator="containsText" text="Выраженное отставание">
      <formula>NOT(ISERROR(SEARCH("Выраженное отставание",K2)))</formula>
    </cfRule>
    <cfRule type="containsText" dxfId="7" priority="6" operator="containsText" text="Сильная зона">
      <formula>NOT(ISERROR(SEARCH("Сильная зона",K2)))</formula>
    </cfRule>
    <cfRule type="containsText" dxfId="6" priority="7" operator="containsText" text="Близко к возрасту">
      <formula>NOT(ISERROR(SEARCH("Близко к возрасту",K2)))</formula>
    </cfRule>
    <cfRule type="containsText" dxfId="5" priority="8" operator="containsText" text="Зона развития">
      <formula>NOT(ISERROR(SEARCH("Зона развития",K2)))</formula>
    </cfRule>
    <cfRule type="containsText" dxfId="4" priority="9" operator="containsText" text="Требует усиленной поддержки">
      <formula>NOT(ISERROR(SEARCH("Требует усиленной поддержки",K2)))</formula>
    </cfRule>
  </conditionalFormatting>
  <conditionalFormatting sqref="F2:F8">
    <cfRule type="cellIs" dxfId="3" priority="10" operator="greaterThanOrEqual">
      <formula>0.9</formula>
    </cfRule>
    <cfRule type="cellIs" dxfId="2" priority="11" operator="greaterThanOrEqual">
      <formula>0.75</formula>
    </cfRule>
    <cfRule type="cellIs" dxfId="1" priority="12" operator="greaterThanOrEqual">
      <formula>0.5</formula>
    </cfRule>
    <cfRule type="cellIs" dxfId="0" priority="13" operator="lessThan">
      <formula>0.5</formula>
    </cfRule>
  </conditionalFormatting>
  <pageMargins left="0.75" right="0.75" top="1" bottom="1" header="0.511811023622047" footer="0.51180555555555596"/>
  <pageSetup paperSize="9" orientation="portrait" horizontalDpi="300" verticalDpi="300" r:id="rId1"/>
  <headerFooter>
    <oddFooter>&amp;C&amp;8 &amp;K888888© 2025 Rabiga Sagyndykova · LOLA System · Запрещена перепродажа и передача третьим лицам&amp;R&amp;8 Стр. &amp;P из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E46C0A"/>
  </sheetPr>
  <dimension ref="A1:L33"/>
  <sheetViews>
    <sheetView topLeftCell="A4" zoomScaleNormal="100" workbookViewId="0">
      <selection activeCell="G9" sqref="G9"/>
    </sheetView>
  </sheetViews>
  <sheetFormatPr defaultColWidth="8.7265625" defaultRowHeight="14.5"/>
  <cols>
    <col min="1" max="1" width="13.453125" style="17" customWidth="1"/>
    <col min="2" max="2" width="18" style="17" customWidth="1"/>
    <col min="3" max="3" width="24.26953125" style="17" customWidth="1"/>
    <col min="4" max="4" width="13" style="17" customWidth="1"/>
    <col min="6" max="6" width="13.54296875" style="17" customWidth="1"/>
    <col min="7" max="7" width="11.7265625" style="17" customWidth="1"/>
  </cols>
  <sheetData>
    <row r="1" spans="1:12" ht="15" customHeight="1">
      <c r="A1" s="153" t="s">
        <v>326</v>
      </c>
      <c r="B1" s="153"/>
      <c r="C1" s="153"/>
      <c r="D1" s="153"/>
      <c r="E1" s="66"/>
      <c r="F1" s="66"/>
      <c r="G1" s="66"/>
    </row>
    <row r="2" spans="1:12" ht="37.5" customHeight="1">
      <c r="A2" s="123" t="s">
        <v>327</v>
      </c>
      <c r="B2" s="123" t="s">
        <v>328</v>
      </c>
      <c r="C2" s="123" t="s">
        <v>329</v>
      </c>
      <c r="D2" s="123" t="s">
        <v>330</v>
      </c>
      <c r="E2" s="123" t="s">
        <v>249</v>
      </c>
      <c r="F2" s="123" t="s">
        <v>331</v>
      </c>
      <c r="G2" s="123" t="s">
        <v>332</v>
      </c>
      <c r="H2" s="15"/>
      <c r="I2" s="15"/>
      <c r="J2" s="15"/>
      <c r="K2" s="15"/>
      <c r="L2" s="15"/>
    </row>
    <row r="3" spans="1:12" ht="25.5" customHeight="1">
      <c r="A3" s="123" t="s">
        <v>333</v>
      </c>
      <c r="B3" s="123" t="str">
        <f>профиль!B15</f>
        <v>Физика</v>
      </c>
      <c r="C3" s="123" t="str">
        <f>VLOOKUP(B3,Рекомендации!A:D,4,FALSE())</f>
        <v xml:space="preserve">Рекомендовано: консультация по ЛФК          </v>
      </c>
      <c r="D3" s="123" t="str">
        <f>"10–15 минут ежедневно"</f>
        <v>10–15 минут ежедневно</v>
      </c>
      <c r="E3" s="123" t="str">
        <f>профиль!$B$22</f>
        <v>базовый</v>
      </c>
      <c r="F3" s="123" t="str">
        <f t="array" aca="1" ref="F3" ca="1">IFERROR(INDEX(УПРАЖНЕНИЯ!C$2:C$166,SMALL(IF((УПРАЖНЕНИЯ!A$2:A$166=B3)*(УПРАЖНЕНИЯ!B$2:B$166=профиль!$B$22),ROW(УПРАЖНЕНИЯ!A$2:A$166)-ROW(УПРАЖНЕНИЯ!A$2)+1),RANDBETWEEN(1,MAX(1,COUNTIFS(УПРАЖНЕНИЯ!A$2:A$166,B3,УПРАЖНЕНИЯ!B$2:B$166,профиль!$B$22))))),"Нет упражнения")</f>
        <v>Качание на четвереньках</v>
      </c>
      <c r="G3" s="123" t="str">
        <f t="array" aca="1" ref="G3" ca="1">IFERROR(INDEX(УПРАЖНЕНИЯ!D$2:D$166,SMALL(IF((УПРАЖНЕНИЯ!A$2:A$166=B3)*(УПРАЖНЕНИЯ!B$2:B$166=профиль!$B$22),ROW(УПРАЖНЕНИЯ!A$2:A$166)-ROW(УПРАЖНЕНИЯ!A$2)+1),RANDBETWEEN(1,MAX(1,COUNTIFS(УПРАЖНЕНИЯ!A$2:A$166,B3,УПРАЖНЕНИЯ!B$2:B$166,профиль!$B$22))))),"—")</f>
        <v>помощь ногами</v>
      </c>
      <c r="H3" s="15"/>
      <c r="I3" s="15"/>
      <c r="J3" s="15"/>
      <c r="K3" s="15"/>
      <c r="L3" s="15"/>
    </row>
    <row r="4" spans="1:12" ht="38.25" customHeight="1">
      <c r="A4" s="123" t="s">
        <v>214</v>
      </c>
      <c r="B4" s="123" t="str">
        <f>профиль!B21</f>
        <v>Самообслуживание</v>
      </c>
      <c r="C4" s="123" t="str">
        <f>VLOOKUP(B4,Рекомендации!A:D,3,FALSE())</f>
        <v xml:space="preserve">Рекомендовано: тренировка навыков        </v>
      </c>
      <c r="D4" s="123" t="str">
        <f>"3–4 раза в неделю"</f>
        <v>3–4 раза в неделю</v>
      </c>
      <c r="E4" s="123" t="str">
        <f>профиль!$B$22</f>
        <v>базовый</v>
      </c>
      <c r="F4" s="123" t="str">
        <f t="array" aca="1" ref="F4" ca="1">IFERROR(INDEX(УПРАЖНЕНИЯ!C$2:C$166,SMALL(IF((УПРАЖНЕНИЯ!A$2:A$166=B4)*(УПРАЖНЕНИЯ!B$2:B$166=профиль!$B$22),ROW(УПРАЖНЕНИЯ!A$2:A$166)-ROW(УПРАЖНЕНИЯ!A$2)+1),RANDBETWEEN(1,MAX(1,COUNTIFS(УПРАЖНЕНИЯ!A$2:A$166,B4,УПРАЖНЕНИЯ!B$2:B$166,профиль!$B$22))))),"Нет упражнения")</f>
        <v>Снимать носки</v>
      </c>
      <c r="G4" s="123" t="str">
        <f t="array" aca="1" ref="G4" ca="1">IFERROR(INDEX(УПРАЖНЕНИЯ!D$2:D$166,SMALL(IF((УПРАЖНЕНИЯ!A$2:A$166=B4)*(УПРАЖНЕНИЯ!B$2:B$166=профиль!$B$22),ROW(УПРАЖНЕНИЯ!A$2:A$166)-ROW(УПРАЖНЕНИЯ!A$2)+1),RANDBETWEEN(1,MAX(1,COUNTIFS(УПРАЖНЕНИЯ!A$2:A$166,B4,УПРАЖНЕНИЯ!B$2:B$166,профиль!$B$22))))),"—")</f>
        <v>помощь</v>
      </c>
      <c r="H4" s="15"/>
      <c r="I4" s="15"/>
      <c r="J4" s="15"/>
      <c r="K4" s="15"/>
      <c r="L4" s="15"/>
    </row>
    <row r="5" spans="1:12" ht="39" customHeight="1">
      <c r="A5" s="123" t="s">
        <v>334</v>
      </c>
      <c r="B5" s="123" t="str">
        <f>профиль!B11</f>
        <v>Физика</v>
      </c>
      <c r="C5" s="123" t="str">
        <f>VLOOKUP(B5,Рекомендации!A:D,2,FALSE())</f>
        <v xml:space="preserve">Рекомендовано: больше подвижных игр       </v>
      </c>
      <c r="D5" s="123" t="str">
        <f>"поддерживать через игры"</f>
        <v>поддерживать через игры</v>
      </c>
      <c r="E5" s="123" t="str">
        <f>профиль!$B$22</f>
        <v>базовый</v>
      </c>
      <c r="F5" s="123" t="str">
        <f t="array" aca="1" ref="F5" ca="1">IFERROR(INDEX(УПРАЖНЕНИЯ!C$2:C$166,SMALL(IF((УПРАЖНЕНИЯ!A$2:A$166=B5)*(УПРАЖНЕНИЯ!B$2:B$166=профиль!$B$22),ROW(УПРАЖНЕНИЯ!A$2:A$166)-ROW(УПРАЖНЕНИЯ!A$2)+1),RANDBETWEEN(1,MAX(1,COUNTIFS(УПРАЖНЕНИЯ!A$2:A$166,B5,УПРАЖНЕНИЯ!B$2:B$166,профиль!$B$22))))),"Нет упражнения")</f>
        <v>Перекаты на бок</v>
      </c>
      <c r="G5" s="123" t="str">
        <f t="array" aca="1" ref="G5" ca="1">IFERROR(INDEX(УПРАЖНЕНИЯ!D$2:D$166,SMALL(IF((УПРАЖНЕНИЯ!A$2:A$166=B5)*(УПРАЖНЕНИЯ!B$2:B$166=профиль!$B$22),ROW(УПРАЖНЕНИЯ!A$2:A$166)-ROW(УПРАЖНЕНИЯ!A$2)+1),RANDBETWEEN(1,MAX(1,COUNTIFS(УПРАЖНЕНИЯ!A$2:A$166,B5,УПРАЖНЕНИЯ!B$2:B$166,профиль!$B$22))))),"—")</f>
        <v>через плечо</v>
      </c>
      <c r="H5" s="15"/>
      <c r="I5" s="15"/>
      <c r="J5" s="15"/>
      <c r="K5" s="15"/>
      <c r="L5" s="15"/>
    </row>
    <row r="6" spans="1:12" ht="15" customHeight="1">
      <c r="A6" s="20"/>
      <c r="B6" s="20"/>
      <c r="C6" s="20"/>
      <c r="D6" s="20"/>
      <c r="E6" s="15"/>
      <c r="F6" s="15"/>
      <c r="G6" s="15"/>
      <c r="H6" s="15"/>
      <c r="I6" s="15"/>
      <c r="J6" s="15"/>
      <c r="K6" s="15"/>
      <c r="L6" s="15"/>
    </row>
    <row r="7" spans="1:12" s="19" customFormat="1" ht="15" customHeight="1">
      <c r="A7" s="154" t="str">
        <f>"Рекомендуется уделять развитию ребёнка 20–30 минут в день через игровые и бытовые ситуации."</f>
        <v>Рекомендуется уделять развитию ребёнка 20–30 минут в день через игровые и бытовые ситуации.</v>
      </c>
      <c r="B7" s="155"/>
      <c r="C7" s="155"/>
      <c r="D7" s="155"/>
      <c r="E7" s="21"/>
      <c r="F7" s="21"/>
      <c r="G7" s="22"/>
      <c r="H7" s="22"/>
      <c r="I7" s="22"/>
      <c r="J7" s="22"/>
      <c r="K7" s="22"/>
      <c r="L7" s="22"/>
    </row>
    <row r="8" spans="1:12" ht="15" customHeight="1">
      <c r="A8" s="123"/>
      <c r="B8" s="123"/>
      <c r="C8" s="123"/>
      <c r="D8" s="123"/>
      <c r="E8" s="15"/>
      <c r="F8" s="15"/>
      <c r="G8" s="15"/>
      <c r="H8" s="15"/>
      <c r="I8" s="15"/>
      <c r="J8" s="15"/>
      <c r="K8" s="15"/>
      <c r="L8" s="15"/>
    </row>
    <row r="9" spans="1:12" ht="25.5" customHeight="1">
      <c r="A9" s="123"/>
      <c r="B9" s="123"/>
      <c r="C9" s="123"/>
      <c r="D9" s="123"/>
      <c r="E9" s="15"/>
      <c r="F9" s="15"/>
      <c r="G9" s="15"/>
      <c r="H9" s="15"/>
      <c r="I9" s="15"/>
      <c r="J9" s="15"/>
      <c r="K9" s="15"/>
      <c r="L9" s="15"/>
    </row>
    <row r="10" spans="1:12" ht="15" customHeight="1">
      <c r="A10" s="123"/>
      <c r="B10" s="123"/>
      <c r="C10" s="123"/>
      <c r="D10" s="123"/>
      <c r="E10" s="15"/>
      <c r="F10" s="15"/>
      <c r="G10" s="15"/>
      <c r="H10" s="15"/>
      <c r="I10" s="15"/>
      <c r="J10" s="15"/>
      <c r="K10" s="15"/>
      <c r="L10" s="15"/>
    </row>
    <row r="11" spans="1:12" ht="27.75" customHeight="1">
      <c r="A11" s="156" t="s">
        <v>335</v>
      </c>
      <c r="B11" s="123"/>
      <c r="C11" s="123"/>
      <c r="D11" s="123"/>
      <c r="E11" s="15"/>
      <c r="F11" s="15"/>
      <c r="G11" s="15"/>
      <c r="H11" s="15"/>
      <c r="I11" s="15"/>
      <c r="J11" s="15"/>
      <c r="K11" s="15"/>
      <c r="L11" s="15"/>
    </row>
    <row r="12" spans="1:12" ht="27.75" customHeight="1">
      <c r="A12" s="157" t="s">
        <v>336</v>
      </c>
      <c r="B12" s="157" t="s">
        <v>256</v>
      </c>
      <c r="C12" s="157" t="s">
        <v>257</v>
      </c>
      <c r="D12" s="123"/>
      <c r="E12" s="15"/>
      <c r="F12" s="15"/>
      <c r="G12" s="15"/>
      <c r="H12" s="15"/>
      <c r="I12" s="15"/>
      <c r="J12" s="15"/>
      <c r="K12" s="15"/>
      <c r="L12" s="15"/>
    </row>
    <row r="13" spans="1:12" ht="15" customHeight="1">
      <c r="A13" s="123" t="s">
        <v>258</v>
      </c>
      <c r="B13" s="123" t="str">
        <f t="array" aca="1" ref="B13" ca="1">IFERROR(INDEX(УПРАЖНЕНИЯ!C$2:C$166,SMALL(IF((УПРАЖНЕНИЯ!A$2:A$166=профиль!$B$15)*(УПРАЖНЕНИЯ!B$2:B$166=профиль!$B$22),ROW(УПРАЖНЕНИЯ!A$2:A$166)-ROW(УПРАЖНЕНИЯ!A$2)+1),RANDBETWEEN(1,MAX(1,COUNTIFS(УПРАЖНЕНИЯ!A$2:A$166,профиль!$B$15,УПРАЖНЕНИЯ!B$2:B$166,профиль!$B$22))))),"Нет упражнения")</f>
        <v>Поза на четвереньках</v>
      </c>
      <c r="C13" s="123" t="str">
        <f t="array" aca="1" ref="C13" ca="1">IFERROR(INDEX(УПРАЖНЕНИЯ!D$2:D$166,SMALL(IF((УПРАЖНЕНИЯ!A$2:A$166=профиль!$B$15)*(УПРАЖНЕНИЯ!B$2:B$166=профиль!$B$22),ROW(УПРАЖНЕНИЯ!A$2:A$166)-ROW(УПРАЖНЕНИЯ!A$2)+1),RANDBETWEEN(1,MAX(1,COUNTIFS(УПРАЖНЕНИЯ!A$2:A$166,профиль!$B$15,УПРАЖНЕНИЯ!B$2:B$166,профиль!$B$22))))),"—")</f>
        <v>вперед-назад</v>
      </c>
      <c r="D13" s="123"/>
      <c r="E13" s="15"/>
      <c r="F13" s="15"/>
      <c r="G13" s="15"/>
      <c r="H13" s="15"/>
      <c r="I13" s="15"/>
      <c r="J13" s="15"/>
      <c r="K13" s="15"/>
      <c r="L13" s="15"/>
    </row>
    <row r="14" spans="1:12" ht="15" customHeight="1">
      <c r="A14" s="123" t="s">
        <v>259</v>
      </c>
      <c r="B14" s="123" t="str">
        <f t="array" aca="1" ref="B14" ca="1">IFERROR(INDEX(УПРАЖНЕНИЯ!C$2:C$166,SMALL(IF((УПРАЖНЕНИЯ!A$2:A$166=профиль!$B$15)*(УПРАЖНЕНИЯ!B$2:B$166=профиль!$B$22),ROW(УПРАЖНЕНИЯ!A$2:A$166)-ROW(УПРАЖНЕНИЯ!A$2)+1),RANDBETWEEN(1,MAX(1,COUNTIFS(УПРАЖНЕНИЯ!A$2:A$166,профиль!$B$15,УПРАЖНЕНИЯ!B$2:B$166,профиль!$B$22))))),"Нет упражнения")</f>
        <v>Удержание головы</v>
      </c>
      <c r="C14" s="123" t="str">
        <f t="array" aca="1" ref="C14" ca="1">IFERROR(INDEX(УПРАЖНЕНИЯ!D$2:D$166,SMALL(IF((УПРАЖНЕНИЯ!A$2:A$166=профиль!$B$15)*(УПРАЖНЕНИЯ!B$2:B$166=профиль!$B$22),ROW(УПРАЖНЕНИЯ!A$2:A$166)-ROW(УПРАЖНЕНИЯ!A$2)+1),RANDBETWEEN(1,MAX(1,COUNTIFS(УПРАЖНЕНИЯ!A$2:A$166,профиль!$B$15,УПРАЖНЕНИЯ!B$2:B$166,профиль!$B$22))))),"—")</f>
        <v>через плечо</v>
      </c>
      <c r="D14" s="146"/>
      <c r="E14" s="15"/>
      <c r="F14" s="15"/>
      <c r="G14" s="15"/>
      <c r="H14" s="15"/>
      <c r="I14" s="15"/>
      <c r="J14" s="15"/>
      <c r="K14" s="15"/>
      <c r="L14" s="15"/>
    </row>
    <row r="15" spans="1:12" ht="27.75" customHeight="1">
      <c r="A15" s="123" t="s">
        <v>260</v>
      </c>
      <c r="B15" s="123" t="str">
        <f t="array" aca="1" ref="B15" ca="1">IFERROR(INDEX(УПРАЖНЕНИЯ!C$2:C$166,SMALL(IF((УПРАЖНЕНИЯ!A$2:A$166=профиль!$B$15)*(УПРАЖНЕНИЯ!B$2:B$166=профиль!$B$22),ROW(УПРАЖНЕНИЯ!A$2:A$166)-ROW(УПРАЖНЕНИЯ!A$2)+1),RANDBETWEEN(1,MAX(1,COUNTIFS(УПРАЖНЕНИЯ!A$2:A$166,профиль!$B$15,УПРАЖНЕНИЯ!B$2:B$166,профиль!$B$22))))),"Нет упражнения")</f>
        <v>Поза на четвереньках</v>
      </c>
      <c r="C15" s="123" t="str">
        <f t="array" aca="1" ref="C15" ca="1">IFERROR(INDEX(УПРАЖНЕНИЯ!D$2:D$166,SMALL(IF((УПРАЖНЕНИЯ!A$2:A$166=профиль!$B$15)*(УПРАЖНЕНИЯ!B$2:B$166=профиль!$B$22),ROW(УПРАЖНЕНИЯ!A$2:A$166)-ROW(УПРАЖНЕНИЯ!A$2)+1),RANDBETWEEN(1,MAX(1,COUNTIFS(УПРАЖНЕНИЯ!A$2:A$166,профиль!$B$15,УПРАЖНЕНИЯ!B$2:B$166,профиль!$B$22))))),"—")</f>
        <v>лежа на животе</v>
      </c>
      <c r="D15" s="146"/>
      <c r="E15" s="15"/>
      <c r="F15" s="15"/>
      <c r="G15" s="15"/>
      <c r="H15" s="15"/>
      <c r="I15" s="15"/>
      <c r="J15" s="15"/>
      <c r="K15" s="15"/>
      <c r="L15" s="15"/>
    </row>
    <row r="16" spans="1:12" ht="27.75" customHeight="1">
      <c r="A16" s="123" t="s">
        <v>261</v>
      </c>
      <c r="B16" s="123" t="str">
        <f t="array" aca="1" ref="B16" ca="1">IFERROR(INDEX(УПРАЖНЕНИЯ!C$2:C$166,SMALL(IF((УПРАЖНЕНИЯ!A$2:A$166=профиль!$B$15)*(УПРАЖНЕНИЯ!B$2:B$166=профиль!$B$22),ROW(УПРАЖНЕНИЯ!A$2:A$166)-ROW(УПРАЖНЕНИЯ!A$2)+1),RANDBETWEEN(1,MAX(1,COUNTIFS(УПРАЖНЕНИЯ!A$2:A$166,профиль!$B$15,УПРАЖНЕНИЯ!B$2:B$166,профиль!$B$22))))),"Нет упражнения")</f>
        <v>Ползание с поддержкой</v>
      </c>
      <c r="C16" s="123" t="str">
        <f t="array" aca="1" ref="C16" ca="1">IFERROR(INDEX(УПРАЖНЕНИЯ!D$2:D$166,SMALL(IF((УПРАЖНЕНИЯ!A$2:A$166=профиль!$B$15)*(УПРАЖНЕНИЯ!B$2:B$166=профиль!$B$22),ROW(УПРАЖНЕНИЯ!A$2:A$166)-ROW(УПРАЖНЕНИЯ!A$2)+1),RANDBETWEEN(1,MAX(1,COUNTIFS(УПРАЖНЕНИЯ!A$2:A$166,профиль!$B$15,УПРАЖНЕНИЯ!B$2:B$166,профиль!$B$22))))),"—")</f>
        <v>лежа на животе</v>
      </c>
      <c r="D16" s="146"/>
      <c r="E16" s="15"/>
      <c r="F16" s="15"/>
      <c r="G16" s="15"/>
      <c r="H16" s="15"/>
      <c r="I16" s="15"/>
      <c r="J16" s="15"/>
      <c r="K16" s="15"/>
      <c r="L16" s="15"/>
    </row>
    <row r="17" spans="1:12" ht="15" customHeight="1">
      <c r="A17" s="123" t="s">
        <v>262</v>
      </c>
      <c r="B17" s="123" t="str">
        <f t="array" aca="1" ref="B17" ca="1">IFERROR(INDEX(УПРАЖНЕНИЯ!C$2:C$166,SMALL(IF((УПРАЖНЕНИЯ!A$2:A$166=профиль!$B$15)*(УПРАЖНЕНИЯ!B$2:B$166=профиль!$B$22),ROW(УПРАЖНЕНИЯ!A$2:A$166)-ROW(УПРАЖНЕНИЯ!A$2)+1),RANDBETWEEN(1,MAX(1,COUNTIFS(УПРАЖНЕНИЯ!A$2:A$166,профиль!$B$15,УПРАЖНЕНИЯ!B$2:B$166,профиль!$B$22))))),"Нет упражнения")</f>
        <v>Перекаты на бок</v>
      </c>
      <c r="C17" s="123" t="str">
        <f t="array" aca="1" ref="C17" ca="1">IFERROR(INDEX(УПРАЖНЕНИЯ!D$2:D$166,SMALL(IF((УПРАЖНЕНИЯ!A$2:A$166=профиль!$B$15)*(УПРАЖНЕНИЯ!B$2:B$166=профиль!$B$22),ROW(УПРАЖНЕНИЯ!A$2:A$166)-ROW(УПРАЖНЕНИЯ!A$2)+1),RANDBETWEEN(1,MAX(1,COUNTIFS(УПРАЖНЕНИЯ!A$2:A$166,профиль!$B$15,УПРАЖНЕНИЯ!B$2:B$166,профиль!$B$22))))),"—")</f>
        <v>с помощью</v>
      </c>
      <c r="D17" s="146"/>
      <c r="E17" s="15"/>
      <c r="F17" s="15"/>
      <c r="G17" s="15"/>
      <c r="H17" s="15"/>
      <c r="I17" s="15"/>
      <c r="J17" s="15"/>
      <c r="K17" s="15"/>
      <c r="L17" s="15"/>
    </row>
    <row r="18" spans="1:12" ht="15" customHeight="1">
      <c r="A18" s="146"/>
      <c r="B18" s="146"/>
      <c r="C18" s="146"/>
      <c r="D18" s="146"/>
      <c r="E18" s="15"/>
      <c r="F18" s="15"/>
      <c r="G18" s="15"/>
      <c r="H18" s="15"/>
      <c r="I18" s="15"/>
      <c r="J18" s="15"/>
      <c r="K18" s="15"/>
      <c r="L18" s="15"/>
    </row>
    <row r="19" spans="1:12" ht="15" customHeight="1">
      <c r="A19" s="146"/>
      <c r="B19" s="146"/>
      <c r="C19" s="146"/>
      <c r="D19" s="146"/>
      <c r="E19" s="15"/>
      <c r="F19" s="15"/>
      <c r="G19" s="15"/>
      <c r="H19" s="15"/>
      <c r="I19" s="15"/>
      <c r="J19" s="15"/>
      <c r="K19" s="15"/>
      <c r="L19" s="15"/>
    </row>
    <row r="20" spans="1:12" ht="27.75" customHeight="1">
      <c r="A20" s="156" t="s">
        <v>337</v>
      </c>
      <c r="B20" s="146"/>
      <c r="C20" s="146"/>
      <c r="D20" s="146"/>
      <c r="E20" s="15"/>
      <c r="F20" s="15"/>
      <c r="G20" s="15"/>
      <c r="H20" s="15"/>
      <c r="I20" s="15"/>
      <c r="J20" s="15"/>
      <c r="K20" s="15"/>
      <c r="L20" s="15"/>
    </row>
    <row r="21" spans="1:12" ht="27.75" customHeight="1">
      <c r="A21" s="157" t="s">
        <v>338</v>
      </c>
      <c r="B21" s="157" t="s">
        <v>256</v>
      </c>
      <c r="C21" s="157" t="s">
        <v>257</v>
      </c>
      <c r="D21" s="146"/>
      <c r="E21" s="15"/>
      <c r="F21" s="15"/>
      <c r="G21" s="15"/>
      <c r="H21" s="15"/>
      <c r="I21" s="15"/>
      <c r="J21" s="15"/>
      <c r="K21" s="15"/>
      <c r="L21" s="15"/>
    </row>
    <row r="22" spans="1:12" ht="15" customHeight="1">
      <c r="A22" s="66" t="s">
        <v>339</v>
      </c>
      <c r="B22" s="66" t="str">
        <f t="array" aca="1" ref="B22" ca="1">IFERROR(INDEX(УПРАЖНЕНИЯ!C$2:C$166,SMALL(IF((УПРАЖНЕНИЯ!A$2:A$166=профиль!$B$15)*(УПРАЖНЕНИЯ!B$2:B$166=профиль!$B$22),ROW(УПРАЖНЕНИЯ!A$2:A$166)-ROW(УПРАЖНЕНИЯ!A$2)+1),RANDBETWEEN(1,MAX(1,COUNTIFS(УПРАЖНЕНИЯ!A$2:A$166,профиль!$B$15,УПРАЖНЕНИЯ!B$2:B$166,профиль!$B$22))))),"Нет упражнения")</f>
        <v>Ползание к игрушке</v>
      </c>
      <c r="C22" s="66" t="str">
        <f t="array" aca="1" ref="C22" ca="1">IFERROR(INDEX(УПРАЖНЕНИЯ!D$2:D$166,SMALL(IF((УПРАЖНЕНИЯ!A$2:A$166=профиль!$B$15)*(УПРАЖНЕНИЯ!B$2:B$166=профиль!$B$22),ROW(УПРАЖНЕНИЯ!A$2:A$166)-ROW(УПРАЖНЕНИЯ!A$2)+1),RANDBETWEEN(1,MAX(1,COUNTIFS(УПРАЖНЕНИЯ!A$2:A$166,профиль!$B$15,УПРАЖНЕНИЯ!B$2:B$166,профиль!$B$22))))),"—")</f>
        <v>помощь ногами</v>
      </c>
      <c r="D22" s="66"/>
    </row>
    <row r="23" spans="1:12" ht="15" customHeight="1">
      <c r="A23" s="66" t="s">
        <v>340</v>
      </c>
      <c r="B23" s="66" t="str">
        <f t="array" aca="1" ref="B23" ca="1">IFERROR(INDEX(УПРАЖНЕНИЯ!C$2:C$166,SMALL(IF((УПРАЖНЕНИЯ!A$2:A$166=профиль!$B$15)*(УПРАЖНЕНИЯ!B$2:B$166=профиль!$B$22),ROW(УПРАЖНЕНИЯ!A$2:A$166)-ROW(УПРАЖНЕНИЯ!A$2)+1),RANDBETWEEN(1,MAX(1,COUNTIFS(УПРАЖНЕНИЯ!A$2:A$166,профиль!$B$15,УПРАЖНЕНИЯ!B$2:B$166,профиль!$B$22))))),"Нет упражнения")</f>
        <v>Поза на четвереньках</v>
      </c>
      <c r="C23" s="66" t="str">
        <f t="array" aca="1" ref="C23" ca="1">IFERROR(INDEX(УПРАЖНЕНИЯ!D$2:D$166,SMALL(IF((УПРАЖНЕНИЯ!A$2:A$166=профиль!$B$15)*(УПРАЖНЕНИЯ!B$2:B$166=профиль!$B$22),ROW(УПРАЖНЕНИЯ!A$2:A$166)-ROW(УПРАЖНЕНИЯ!A$2)+1),RANDBETWEEN(1,MAX(1,COUNTIFS(УПРАЖНЕНИЯ!A$2:A$166,профиль!$B$15,УПРАЖНЕНИЯ!B$2:B$166,профиль!$B$22))))),"—")</f>
        <v>удержание</v>
      </c>
      <c r="D23" s="66"/>
    </row>
    <row r="24" spans="1:12" ht="15" customHeight="1">
      <c r="A24" s="66" t="s">
        <v>341</v>
      </c>
      <c r="B24" s="66" t="str">
        <f t="array" aca="1" ref="B24" ca="1">IFERROR(INDEX(УПРАЖНЕНИЯ!C$2:C$166,SMALL(IF((УПРАЖНЕНИЯ!A$2:A$166=профиль!$B$15)*(УПРАЖНЕНИЯ!B$2:B$166=профиль!$B$22),ROW(УПРАЖНЕНИЯ!A$2:A$166)-ROW(УПРАЖНЕНИЯ!A$2)+1),RANDBETWEEN(1,MAX(1,COUNTIFS(УПРАЖНЕНИЯ!A$2:A$166,профиль!$B$15,УПРАЖНЕНИЯ!B$2:B$166,профиль!$B$22))))),"Нет упражнения")</f>
        <v>Поза на четвереньках</v>
      </c>
      <c r="C24" s="66" t="str">
        <f t="array" aca="1" ref="C24" ca="1">IFERROR(INDEX(УПРАЖНЕНИЯ!D$2:D$166,SMALL(IF((УПРАЖНЕНИЯ!A$2:A$166=профиль!$B$15)*(УПРАЖНЕНИЯ!B$2:B$166=профиль!$B$22),ROW(УПРАЖНЕНИЯ!A$2:A$166)-ROW(УПРАЖНЕНИЯ!A$2)+1),RANDBETWEEN(1,MAX(1,COUNTIFS(УПРАЖНЕНИЯ!A$2:A$166,профиль!$B$15,УПРАЖНЕНИЯ!B$2:B$166,профиль!$B$22))))),"—")</f>
        <v>вперед-назад</v>
      </c>
      <c r="D24" s="66"/>
    </row>
    <row r="25" spans="1:12" ht="15" customHeight="1">
      <c r="A25" s="66" t="s">
        <v>342</v>
      </c>
      <c r="B25" s="66" t="str">
        <f t="array" aca="1" ref="B25" ca="1">IFERROR(INDEX(УПРАЖНЕНИЯ!C$2:C$166,SMALL(IF((УПРАЖНЕНИЯ!A$2:A$166=профиль!$B$15)*(УПРАЖНЕНИЯ!B$2:B$166=профиль!$B$22),ROW(УПРАЖНЕНИЯ!A$2:A$166)-ROW(УПРАЖНЕНИЯ!A$2)+1),RANDBETWEEN(1,MAX(1,COUNTIFS(УПРАЖНЕНИЯ!A$2:A$166,профиль!$B$15,УПРАЖНЕНИЯ!B$2:B$166,профиль!$B$22))))),"Нет упражнения")</f>
        <v>Перекаты на бок</v>
      </c>
      <c r="C25" s="66" t="str">
        <f t="array" aca="1" ref="C25" ca="1">IFERROR(INDEX(УПРАЖНЕНИЯ!D$2:D$166,SMALL(IF((УПРАЖНЕНИЯ!A$2:A$166=профиль!$B$15)*(УПРАЖНЕНИЯ!B$2:B$166=профиль!$B$22),ROW(УПРАЖНЕНИЯ!A$2:A$166)-ROW(УПРАЖНЕНИЯ!A$2)+1),RANDBETWEEN(1,MAX(1,COUNTIFS(УПРАЖНЕНИЯ!A$2:A$166,профиль!$B$15,УПРАЖНЕНИЯ!B$2:B$166,профиль!$B$22))))),"—")</f>
        <v>вперед-назад</v>
      </c>
      <c r="D25" s="66"/>
    </row>
    <row r="26" spans="1:12" ht="15" customHeight="1">
      <c r="A26" s="66" t="s">
        <v>343</v>
      </c>
      <c r="B26" s="66" t="str">
        <f t="array" aca="1" ref="B26" ca="1">IFERROR(INDEX(УПРАЖНЕНИЯ!C$2:C$166,SMALL(IF((УПРАЖНЕНИЯ!A$2:A$166=профиль!$B$15)*(УПРАЖНЕНИЯ!B$2:B$166=профиль!$B$22),ROW(УПРАЖНЕНИЯ!A$2:A$166)-ROW(УПРАЖНЕНИЯ!A$2)+1),RANDBETWEEN(1,MAX(1,COUNTIFS(УПРАЖНЕНИЯ!A$2:A$166,профиль!$B$15,УПРАЖНЕНИЯ!B$2:B$166,профиль!$B$22))))),"Нет упражнения")</f>
        <v>Перекаты на живот</v>
      </c>
      <c r="C26" s="66" t="str">
        <f t="array" aca="1" ref="C26" ca="1">IFERROR(INDEX(УПРАЖНЕНИЯ!D$2:D$166,SMALL(IF((УПРАЖНЕНИЯ!A$2:A$166=профиль!$B$15)*(УПРАЖНЕНИЯ!B$2:B$166=профиль!$B$22),ROW(УПРАЖНЕНИЯ!A$2:A$166)-ROW(УПРАЖНЕНИЯ!A$2)+1),RANDBETWEEN(1,MAX(1,COUNTIFS(УПРАЖНЕНИЯ!A$2:A$166,профиль!$B$15,УПРАЖНЕНИЯ!B$2:B$166,профиль!$B$22))))),"—")</f>
        <v>помощь ногами</v>
      </c>
      <c r="D26" s="66"/>
    </row>
    <row r="27" spans="1:12" ht="15" customHeight="1">
      <c r="A27" s="66" t="s">
        <v>344</v>
      </c>
      <c r="B27" s="66" t="str">
        <f t="array" aca="1" ref="B27" ca="1">IFERROR(INDEX(УПРАЖНЕНИЯ!C$2:C$166,SMALL(IF((УПРАЖНЕНИЯ!A$2:A$166=профиль!$B$15)*(УПРАЖНЕНИЯ!B$2:B$166=профиль!$B$22),ROW(УПРАЖНЕНИЯ!A$2:A$166)-ROW(УПРАЖНЕНИЯ!A$2)+1),RANDBETWEEN(1,MAX(1,COUNTIFS(УПРАЖНЕНИЯ!A$2:A$166,профиль!$B$15,УПРАЖНЕНИЯ!B$2:B$166,профиль!$B$22))))),"Нет упражнения")</f>
        <v>Поза на четвереньках</v>
      </c>
      <c r="C27" s="66" t="str">
        <f t="array" aca="1" ref="C27" ca="1">IFERROR(INDEX(УПРАЖНЕНИЯ!D$2:D$166,SMALL(IF((УПРАЖНЕНИЯ!A$2:A$166=профиль!$B$15)*(УПРАЖНЕНИЯ!B$2:B$166=профиль!$B$22),ROW(УПРАЖНЕНИЯ!A$2:A$166)-ROW(УПРАЖНЕНИЯ!A$2)+1),RANDBETWEEN(1,MAX(1,COUNTIFS(УПРАЖНЕНИЯ!A$2:A$166,профиль!$B$15,УПРАЖНЕНИЯ!B$2:B$166,профиль!$B$22))))),"—")</f>
        <v>стимул вперед</v>
      </c>
      <c r="D27" s="66"/>
    </row>
    <row r="28" spans="1:12" ht="15" customHeight="1">
      <c r="A28" s="66" t="s">
        <v>345</v>
      </c>
      <c r="B28" s="66" t="str">
        <f t="array" aca="1" ref="B28" ca="1">IFERROR(INDEX(УПРАЖНЕНИЯ!C$2:C$166,SMALL(IF((УПРАЖНЕНИЯ!A$2:A$166=профиль!$B$15)*(УПРАЖНЕНИЯ!B$2:B$166=профиль!$B$22),ROW(УПРАЖНЕНИЯ!A$2:A$166)-ROW(УПРАЖНЕНИЯ!A$2)+1),RANDBETWEEN(1,MAX(1,COUNTIFS(УПРАЖНЕНИЯ!A$2:A$166,профиль!$B$15,УПРАЖНЕНИЯ!B$2:B$166,профиль!$B$22))))),"Нет упражнения")</f>
        <v>Поза на четвереньках</v>
      </c>
      <c r="C28" s="66" t="str">
        <f t="array" aca="1" ref="C28" ca="1">IFERROR(INDEX(УПРАЖНЕНИЯ!D$2:D$166,SMALL(IF((УПРАЖНЕНИЯ!A$2:A$166=профиль!$B$15)*(УПРАЖНЕНИЯ!B$2:B$166=профиль!$B$22),ROW(УПРАЖНЕНИЯ!A$2:A$166)-ROW(УПРАЖНЕНИЯ!A$2)+1),RANDBETWEEN(1,MAX(1,COUNTIFS(УПРАЖНЕНИЯ!A$2:A$166,профиль!$B$15,УПРАЖНЕНИЯ!B$2:B$166,профиль!$B$22))))),"—")</f>
        <v>стимул вперед</v>
      </c>
      <c r="D28" s="66"/>
    </row>
    <row r="29" spans="1:12" ht="15" customHeight="1">
      <c r="A29" s="66" t="s">
        <v>346</v>
      </c>
      <c r="B29" s="66" t="str">
        <f t="array" aca="1" ref="B29" ca="1">IFERROR(INDEX(УПРАЖНЕНИЯ!C$2:C$166,SMALL(IF((УПРАЖНЕНИЯ!A$2:A$166=профиль!$B$15)*(УПРАЖНЕНИЯ!B$2:B$166=профиль!$B$22),ROW(УПРАЖНЕНИЯ!A$2:A$166)-ROW(УПРАЖНЕНИЯ!A$2)+1),RANDBETWEEN(1,MAX(1,COUNTIFS(УПРАЖНЕНИЯ!A$2:A$166,профиль!$B$15,УПРАЖНЕНИЯ!B$2:B$166,профиль!$B$22))))),"Нет упражнения")</f>
        <v>Перекаты на живот</v>
      </c>
      <c r="C29" s="66" t="str">
        <f t="array" aca="1" ref="C29" ca="1">IFERROR(INDEX(УПРАЖНЕНИЯ!D$2:D$166,SMALL(IF((УПРАЖНЕНИЯ!A$2:A$166=профиль!$B$15)*(УПРАЖНЕНИЯ!B$2:B$166=профиль!$B$22),ROW(УПРАЖНЕНИЯ!A$2:A$166)-ROW(УПРАЖНЕНИЯ!A$2)+1),RANDBETWEEN(1,MAX(1,COUNTIFS(УПРАЖНЕНИЯ!A$2:A$166,профиль!$B$15,УПРАЖНЕНИЯ!B$2:B$166,профиль!$B$22))))),"—")</f>
        <v>через плечо</v>
      </c>
      <c r="D29" s="66"/>
    </row>
    <row r="30" spans="1:12" ht="15" customHeight="1">
      <c r="A30" s="66" t="s">
        <v>347</v>
      </c>
      <c r="B30" s="66" t="str">
        <f t="array" aca="1" ref="B30" ca="1">IFERROR(INDEX(УПРАЖНЕНИЯ!C$2:C$166,SMALL(IF((УПРАЖНЕНИЯ!A$2:A$166=профиль!$B$15)*(УПРАЖНЕНИЯ!B$2:B$166=профиль!$B$22),ROW(УПРАЖНЕНИЯ!A$2:A$166)-ROW(УПРАЖНЕНИЯ!A$2)+1),RANDBETWEEN(1,MAX(1,COUNTIFS(УПРАЖНЕНИЯ!A$2:A$166,профиль!$B$15,УПРАЖНЕНИЯ!B$2:B$166,профиль!$B$22))))),"Нет упражнения")</f>
        <v>Катание на фитболе</v>
      </c>
      <c r="C30" s="66" t="str">
        <f t="array" aca="1" ref="C30" ca="1">IFERROR(INDEX(УПРАЖНЕНИЯ!D$2:D$166,SMALL(IF((УПРАЖНЕНИЯ!A$2:A$166=профиль!$B$15)*(УПРАЖНЕНИЯ!B$2:B$166=профиль!$B$22),ROW(УПРАЖНЕНИЯ!A$2:A$166)-ROW(УПРАЖНЕНИЯ!A$2)+1),RANDBETWEEN(1,MAX(1,COUNTIFS(УПРАЖНЕНИЯ!A$2:A$166,профиль!$B$15,УПРАЖНЕНИЯ!B$2:B$166,профиль!$B$22))))),"—")</f>
        <v>помощь через таз</v>
      </c>
      <c r="D30" s="66"/>
    </row>
    <row r="31" spans="1:12" ht="15" customHeight="1">
      <c r="A31" s="66" t="s">
        <v>348</v>
      </c>
      <c r="B31" s="66" t="str">
        <f t="array" aca="1" ref="B31" ca="1">IFERROR(INDEX(УПРАЖНЕНИЯ!C$2:C$166,SMALL(IF((УПРАЖНЕНИЯ!A$2:A$166=профиль!$B$15)*(УПРАЖНЕНИЯ!B$2:B$166=профиль!$B$22),ROW(УПРАЖНЕНИЯ!A$2:A$166)-ROW(УПРАЖНЕНИЯ!A$2)+1),RANDBETWEEN(1,MAX(1,COUNTIFS(УПРАЖНЕНИЯ!A$2:A$166,профиль!$B$15,УПРАЖНЕНИЯ!B$2:B$166,профиль!$B$22))))),"Нет упражнения")</f>
        <v>Подъем ног лежа</v>
      </c>
      <c r="C31" s="66" t="str">
        <f t="array" aca="1" ref="C31" ca="1">IFERROR(INDEX(УПРАЖНЕНИЯ!D$2:D$166,SMALL(IF((УПРАЖНЕНИЯ!A$2:A$166=профиль!$B$15)*(УПРАЖНЕНИЯ!B$2:B$166=профиль!$B$22),ROW(УПРАЖНЕНИЯ!A$2:A$166)-ROW(УПРАЖНЕНИЯ!A$2)+1),RANDBETWEEN(1,MAX(1,COUNTIFS(УПРАЖНЕНИЯ!A$2:A$166,профиль!$B$15,УПРАЖНЕНИЯ!B$2:B$166,профиль!$B$22))))),"—")</f>
        <v>поддержка корпуса</v>
      </c>
      <c r="D31" s="66"/>
    </row>
    <row r="32" spans="1:12" ht="15" customHeight="1">
      <c r="A32" s="66" t="s">
        <v>349</v>
      </c>
      <c r="B32" s="66" t="str">
        <f t="array" aca="1" ref="B32" ca="1">IFERROR(INDEX(УПРАЖНЕНИЯ!C$2:C$166,SMALL(IF((УПРАЖНЕНИЯ!A$2:A$166=профиль!$B$15)*(УПРАЖНЕНИЯ!B$2:B$166=профиль!$B$22),ROW(УПРАЖНЕНИЯ!A$2:A$166)-ROW(УПРАЖНЕНИЯ!A$2)+1),RANDBETWEEN(1,MAX(1,COUNTIFS(УПРАЖНЕНИЯ!A$2:A$166,профиль!$B$15,УПРАЖНЕНИЯ!B$2:B$166,профиль!$B$22))))),"Нет упражнения")</f>
        <v>Перекаты на живот</v>
      </c>
      <c r="C32" s="66" t="str">
        <f t="array" aca="1" ref="C32" ca="1">IFERROR(INDEX(УПРАЖНЕНИЯ!D$2:D$166,SMALL(IF((УПРАЖНЕНИЯ!A$2:A$166=профиль!$B$15)*(УПРАЖНЕНИЯ!B$2:B$166=профиль!$B$22),ROW(УПРАЖНЕНИЯ!A$2:A$166)-ROW(УПРАЖНЕНИЯ!A$2)+1),RANDBETWEEN(1,MAX(1,COUNTIFS(УПРАЖНЕНИЯ!A$2:A$166,профиль!$B$15,УПРАЖНЕНИЯ!B$2:B$166,профиль!$B$22))))),"—")</f>
        <v>удержание</v>
      </c>
      <c r="D32" s="66"/>
    </row>
    <row r="33" spans="1:4" ht="15" customHeight="1">
      <c r="A33" s="66" t="s">
        <v>350</v>
      </c>
      <c r="B33" s="66" t="str">
        <f t="array" aca="1" ref="B33" ca="1">IFERROR(INDEX(УПРАЖНЕНИЯ!C$2:C$166,SMALL(IF((УПРАЖНЕНИЯ!A$2:A$166=профиль!$B$15)*(УПРАЖНЕНИЯ!B$2:B$166=профиль!$B$22),ROW(УПРАЖНЕНИЯ!A$2:A$166)-ROW(УПРАЖНЕНИЯ!A$2)+1),RANDBETWEEN(1,MAX(1,COUNTIFS(УПРАЖНЕНИЯ!A$2:A$166,профиль!$B$15,УПРАЖНЕНИЯ!B$2:B$166,профиль!$B$22))))),"Нет упражнения")</f>
        <v>Удержание головы</v>
      </c>
      <c r="C33" s="66" t="str">
        <f t="array" aca="1" ref="C33" ca="1">IFERROR(INDEX(УПРАЖНЕНИЯ!D$2:D$166,SMALL(IF((УПРАЖНЕНИЯ!A$2:A$166=профиль!$B$15)*(УПРАЖНЕНИЯ!B$2:B$166=профиль!$B$22),ROW(УПРАЖНЕНИЯ!A$2:A$166)-ROW(УПРАЖНЕНИЯ!A$2)+1),RANDBETWEEN(1,MAX(1,COUNTIFS(УПРАЖНЕНИЯ!A$2:A$166,профиль!$B$15,УПРАЖНЕНИЯ!B$2:B$166,профиль!$B$22))))),"—")</f>
        <v>через плечо</v>
      </c>
      <c r="D33" s="66"/>
    </row>
  </sheetData>
  <sheetProtection algorithmName="SHA-512" hashValue="jfcX1zrKnNoVUkKyUsc+xa/rwjGi1VSgTo32PnWNqgh3Qx60rARwEKAzyp5x306WA0iI1tmdnAW538vppJUF6Q==" saltValue="/Zdq6LExdlcP9AtYhTQI1A==" spinCount="100000" sheet="1" objects="1" scenarios="1" selectLockedCells="1"/>
  <pageMargins left="0.75" right="0.75" top="1" bottom="1" header="0.511811023622047" footer="0.51180555555555596"/>
  <pageSetup paperSize="9" orientation="portrait" horizontalDpi="300" verticalDpi="300"/>
  <headerFooter>
    <oddFooter>&amp;C&amp;8 &amp;K888888© 2025 Rabiga Sagyndykova · LOLA System · Запрещена перепродажа и передача третьим лицам&amp;R&amp;8 Стр.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2</vt:i4>
      </vt:variant>
    </vt:vector>
  </HeadingPairs>
  <TitlesOfParts>
    <vt:vector size="18" baseType="lpstr">
      <vt:lpstr>СТАРТ</vt:lpstr>
      <vt:lpstr>ИНСТРУКЦИЯ</vt:lpstr>
      <vt:lpstr>ПАСПОРТ</vt:lpstr>
      <vt:lpstr>0-1</vt:lpstr>
      <vt:lpstr>РЕЗУЛЬТАТЫ</vt:lpstr>
      <vt:lpstr>ИТОГОВЫЙ ОТЧЁТ</vt:lpstr>
      <vt:lpstr>БАЗА</vt:lpstr>
      <vt:lpstr>профиль</vt:lpstr>
      <vt:lpstr>ПЛАН развития</vt:lpstr>
      <vt:lpstr>профиль развития</vt:lpstr>
      <vt:lpstr>УПРАЖНЕНИЯ</vt:lpstr>
      <vt:lpstr>Рекомендации</vt:lpstr>
      <vt:lpstr>СПЕЦИАЛИСТЫ</vt:lpstr>
      <vt:lpstr>НЕЙРОФУНКЦИИ</vt:lpstr>
      <vt:lpstr>СЕНСОРИКА</vt:lpstr>
      <vt:lpstr>ПРИЧИНЫ</vt:lpstr>
      <vt:lpstr>УПРАЖНЕНИЯ!_GoBack</vt:lpstr>
      <vt:lpstr>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Asus</cp:lastModifiedBy>
  <cp:revision>9</cp:revision>
  <dcterms:created xsi:type="dcterms:W3CDTF">2006-09-28T05:33:49Z</dcterms:created>
  <dcterms:modified xsi:type="dcterms:W3CDTF">2026-08-27T09:02:55Z</dcterms:modified>
  <dc:language>en-US</dc:language>
</cp:coreProperties>
</file>