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2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Asus\Desktop\ЛОЛА\LOLA System\LOLA_Track\LT_Child_Dev\"/>
    </mc:Choice>
  </mc:AlternateContent>
  <xr:revisionPtr revIDLastSave="0" documentId="13_ncr:1_{26F110DD-D837-47CD-BC3C-56341774F47D}" xr6:coauthVersionLast="47" xr6:coauthVersionMax="47" xr10:uidLastSave="{00000000-0000-0000-0000-000000000000}"/>
  <bookViews>
    <workbookView xWindow="-110" yWindow="-110" windowWidth="19420" windowHeight="10300" tabRatio="500" activeTab="2" xr2:uid="{00000000-000D-0000-FFFF-FFFF00000000}"/>
  </bookViews>
  <sheets>
    <sheet name="START" sheetId="1" r:id="rId1"/>
    <sheet name="GUIDE" sheetId="2" r:id="rId2"/>
    <sheet name="PASSPORT" sheetId="3" r:id="rId3"/>
    <sheet name="0-1" sheetId="4" r:id="rId4"/>
    <sheet name="RESULTS" sheetId="5" r:id="rId5"/>
    <sheet name="REPORT" sheetId="6" state="hidden" r:id="rId6"/>
    <sheet name="DEV PLAN" sheetId="7" r:id="rId7"/>
    <sheet name="BASE" sheetId="8" state="hidden" r:id="rId8"/>
    <sheet name="PROFILE" sheetId="9" state="hidden" r:id="rId9"/>
    <sheet name="dev profile" sheetId="10" state="hidden" r:id="rId10"/>
    <sheet name="EXERCISES" sheetId="11" state="hidden" r:id="rId11"/>
    <sheet name="RECOMMENDATIONS" sheetId="12" state="hidden" r:id="rId12"/>
    <sheet name="SPECIALISTS" sheetId="13" state="hidden" r:id="rId13"/>
    <sheet name="NEUROFUNCTIONS" sheetId="14" state="hidden" r:id="rId14"/>
    <sheet name="SENSORY" sheetId="15" state="hidden" r:id="rId15"/>
    <sheet name="CAUSES" sheetId="16" state="hidden" r:id="rId16"/>
  </sheets>
  <definedNames>
    <definedName name="_GoBack" localSheetId="10">EXERCISES!$A$1</definedName>
    <definedName name="Физика">PROFILE!$A$2:$B$8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4" l="1"/>
  <c r="I8" i="9"/>
  <c r="H8" i="9"/>
  <c r="C8" i="9"/>
  <c r="I7" i="9"/>
  <c r="H7" i="9"/>
  <c r="I6" i="9"/>
  <c r="H6" i="9"/>
  <c r="I5" i="9"/>
  <c r="H5" i="9"/>
  <c r="I4" i="9"/>
  <c r="H4" i="9"/>
  <c r="I3" i="9"/>
  <c r="H3" i="9"/>
  <c r="I2" i="9"/>
  <c r="H2" i="9"/>
  <c r="D59" i="8"/>
  <c r="A59" i="8"/>
  <c r="D58" i="8"/>
  <c r="A58" i="8"/>
  <c r="D57" i="8"/>
  <c r="A57" i="8"/>
  <c r="D56" i="8"/>
  <c r="A56" i="8"/>
  <c r="D55" i="8"/>
  <c r="A55" i="8"/>
  <c r="D54" i="8"/>
  <c r="C54" i="8"/>
  <c r="B54" i="8"/>
  <c r="A54" i="8"/>
  <c r="D53" i="8"/>
  <c r="A53" i="8"/>
  <c r="D52" i="8"/>
  <c r="A52" i="8"/>
  <c r="D51" i="8"/>
  <c r="A51" i="8"/>
  <c r="D50" i="8"/>
  <c r="A50" i="8"/>
  <c r="D49" i="8"/>
  <c r="A49" i="8"/>
  <c r="D48" i="8"/>
  <c r="A48" i="8"/>
  <c r="D47" i="8"/>
  <c r="C47" i="8"/>
  <c r="B47" i="8"/>
  <c r="A47" i="8"/>
  <c r="D46" i="8"/>
  <c r="A46" i="8"/>
  <c r="D45" i="8"/>
  <c r="A45" i="8"/>
  <c r="D44" i="8"/>
  <c r="A44" i="8"/>
  <c r="D43" i="8"/>
  <c r="A43" i="8"/>
  <c r="D42" i="8"/>
  <c r="A42" i="8"/>
  <c r="D41" i="8"/>
  <c r="C41" i="8"/>
  <c r="B41" i="8"/>
  <c r="A41" i="8"/>
  <c r="D40" i="8"/>
  <c r="A40" i="8"/>
  <c r="D39" i="8"/>
  <c r="A39" i="8"/>
  <c r="D38" i="8"/>
  <c r="A38" i="8"/>
  <c r="D37" i="8"/>
  <c r="A37" i="8"/>
  <c r="D36" i="8"/>
  <c r="A36" i="8"/>
  <c r="D35" i="8"/>
  <c r="A35" i="8"/>
  <c r="D34" i="8"/>
  <c r="A34" i="8"/>
  <c r="D33" i="8"/>
  <c r="A33" i="8"/>
  <c r="D32" i="8"/>
  <c r="C32" i="8"/>
  <c r="B32" i="8"/>
  <c r="A32" i="8"/>
  <c r="D31" i="8"/>
  <c r="A31" i="8"/>
  <c r="D30" i="8"/>
  <c r="A30" i="8"/>
  <c r="D29" i="8"/>
  <c r="A29" i="8"/>
  <c r="D28" i="8"/>
  <c r="A28" i="8"/>
  <c r="D27" i="8"/>
  <c r="A27" i="8"/>
  <c r="D26" i="8"/>
  <c r="A26" i="8"/>
  <c r="D25" i="8"/>
  <c r="A25" i="8"/>
  <c r="D24" i="8"/>
  <c r="C24" i="8"/>
  <c r="B24" i="8"/>
  <c r="A24" i="8"/>
  <c r="D23" i="8"/>
  <c r="A23" i="8"/>
  <c r="D22" i="8"/>
  <c r="A22" i="8"/>
  <c r="D21" i="8"/>
  <c r="A21" i="8"/>
  <c r="D20" i="8"/>
  <c r="A20" i="8"/>
  <c r="D19" i="8"/>
  <c r="A19" i="8"/>
  <c r="D18" i="8"/>
  <c r="A18" i="8"/>
  <c r="D17" i="8"/>
  <c r="A17" i="8"/>
  <c r="D16" i="8"/>
  <c r="A16" i="8"/>
  <c r="D15" i="8"/>
  <c r="C15" i="8"/>
  <c r="B15" i="8"/>
  <c r="A15" i="8"/>
  <c r="D14" i="8"/>
  <c r="A14" i="8"/>
  <c r="D13" i="8"/>
  <c r="A13" i="8"/>
  <c r="D12" i="8"/>
  <c r="A12" i="8"/>
  <c r="D11" i="8"/>
  <c r="A11" i="8"/>
  <c r="D10" i="8"/>
  <c r="A10" i="8"/>
  <c r="D9" i="8"/>
  <c r="A9" i="8"/>
  <c r="D8" i="8"/>
  <c r="A8" i="8"/>
  <c r="D7" i="8"/>
  <c r="A7" i="8"/>
  <c r="D6" i="8"/>
  <c r="A6" i="8"/>
  <c r="D5" i="8"/>
  <c r="A5" i="8"/>
  <c r="D4" i="8"/>
  <c r="A4" i="8"/>
  <c r="D3" i="8"/>
  <c r="A3" i="8"/>
  <c r="D2" i="8"/>
  <c r="A2" i="8"/>
  <c r="D5" i="7"/>
  <c r="D4" i="7"/>
  <c r="D3" i="7"/>
  <c r="C34" i="6"/>
  <c r="B34" i="6"/>
  <c r="A25" i="6"/>
  <c r="A24" i="6"/>
  <c r="A23" i="6"/>
  <c r="A22" i="6"/>
  <c r="A21" i="6"/>
  <c r="A20" i="6"/>
  <c r="A19" i="6"/>
  <c r="B6" i="6"/>
  <c r="B4" i="6"/>
  <c r="B3" i="6"/>
  <c r="A40" i="5"/>
  <c r="A39" i="5"/>
  <c r="A38" i="5"/>
  <c r="A37" i="5"/>
  <c r="A36" i="5"/>
  <c r="A35" i="5"/>
  <c r="A34" i="5"/>
  <c r="B7" i="5"/>
  <c r="B6" i="5"/>
  <c r="B3" i="5"/>
  <c r="G67" i="4"/>
  <c r="B59" i="8" s="1"/>
  <c r="E67" i="4"/>
  <c r="F67" i="4" s="1"/>
  <c r="C59" i="8" s="1"/>
  <c r="G66" i="4"/>
  <c r="B58" i="8" s="1"/>
  <c r="F66" i="4"/>
  <c r="C58" i="8" s="1"/>
  <c r="E66" i="4"/>
  <c r="G65" i="4"/>
  <c r="B57" i="8" s="1"/>
  <c r="E65" i="4"/>
  <c r="F65" i="4" s="1"/>
  <c r="C57" i="8" s="1"/>
  <c r="G64" i="4"/>
  <c r="B56" i="8" s="1"/>
  <c r="F64" i="4"/>
  <c r="C56" i="8" s="1"/>
  <c r="E64" i="4"/>
  <c r="G63" i="4"/>
  <c r="B55" i="8" s="1"/>
  <c r="E63" i="4"/>
  <c r="F63" i="4" s="1"/>
  <c r="C55" i="8" s="1"/>
  <c r="G61" i="4"/>
  <c r="B53" i="8" s="1"/>
  <c r="F61" i="4"/>
  <c r="C53" i="8" s="1"/>
  <c r="E61" i="4"/>
  <c r="G60" i="4"/>
  <c r="B52" i="8" s="1"/>
  <c r="E60" i="4"/>
  <c r="F60" i="4" s="1"/>
  <c r="C52" i="8" s="1"/>
  <c r="G59" i="4"/>
  <c r="B51" i="8" s="1"/>
  <c r="F59" i="4"/>
  <c r="C51" i="8" s="1"/>
  <c r="E59" i="4"/>
  <c r="G58" i="4"/>
  <c r="B50" i="8" s="1"/>
  <c r="E58" i="4"/>
  <c r="F58" i="4" s="1"/>
  <c r="C50" i="8" s="1"/>
  <c r="G57" i="4"/>
  <c r="B49" i="8" s="1"/>
  <c r="F57" i="4"/>
  <c r="C49" i="8" s="1"/>
  <c r="E57" i="4"/>
  <c r="G56" i="4"/>
  <c r="B48" i="8" s="1"/>
  <c r="E56" i="4"/>
  <c r="F56" i="4" s="1"/>
  <c r="C48" i="8" s="1"/>
  <c r="G54" i="4"/>
  <c r="B46" i="8" s="1"/>
  <c r="E54" i="4"/>
  <c r="F54" i="4" s="1"/>
  <c r="C46" i="8" s="1"/>
  <c r="G53" i="4"/>
  <c r="B45" i="8" s="1"/>
  <c r="E53" i="4"/>
  <c r="F53" i="4" s="1"/>
  <c r="C45" i="8" s="1"/>
  <c r="G52" i="4"/>
  <c r="B44" i="8" s="1"/>
  <c r="F52" i="4"/>
  <c r="C44" i="8" s="1"/>
  <c r="E52" i="4"/>
  <c r="G51" i="4"/>
  <c r="B43" i="8" s="1"/>
  <c r="E51" i="4"/>
  <c r="F51" i="4" s="1"/>
  <c r="C43" i="8" s="1"/>
  <c r="G50" i="4"/>
  <c r="B42" i="8" s="1"/>
  <c r="F50" i="4"/>
  <c r="C42" i="8" s="1"/>
  <c r="E50" i="4"/>
  <c r="G48" i="4"/>
  <c r="B40" i="8" s="1"/>
  <c r="E48" i="4"/>
  <c r="F48" i="4" s="1"/>
  <c r="C40" i="8" s="1"/>
  <c r="G47" i="4"/>
  <c r="B39" i="8" s="1"/>
  <c r="F47" i="4"/>
  <c r="C39" i="8" s="1"/>
  <c r="E47" i="4"/>
  <c r="G46" i="4"/>
  <c r="B38" i="8" s="1"/>
  <c r="E46" i="4"/>
  <c r="F46" i="4" s="1"/>
  <c r="C38" i="8" s="1"/>
  <c r="G45" i="4"/>
  <c r="B37" i="8" s="1"/>
  <c r="F45" i="4"/>
  <c r="C37" i="8" s="1"/>
  <c r="E45" i="4"/>
  <c r="G44" i="4"/>
  <c r="B36" i="8" s="1"/>
  <c r="E44" i="4"/>
  <c r="F44" i="4" s="1"/>
  <c r="C36" i="8" s="1"/>
  <c r="G43" i="4"/>
  <c r="B35" i="8" s="1"/>
  <c r="F43" i="4"/>
  <c r="C35" i="8" s="1"/>
  <c r="E43" i="4"/>
  <c r="G42" i="4"/>
  <c r="B34" i="8" s="1"/>
  <c r="E42" i="4"/>
  <c r="F42" i="4" s="1"/>
  <c r="C34" i="8" s="1"/>
  <c r="G41" i="4"/>
  <c r="B33" i="8" s="1"/>
  <c r="F41" i="4"/>
  <c r="C33" i="8" s="1"/>
  <c r="E41" i="4"/>
  <c r="G39" i="4"/>
  <c r="B31" i="8" s="1"/>
  <c r="E39" i="4"/>
  <c r="F39" i="4" s="1"/>
  <c r="C31" i="8" s="1"/>
  <c r="G38" i="4"/>
  <c r="B30" i="8" s="1"/>
  <c r="F38" i="4"/>
  <c r="C30" i="8" s="1"/>
  <c r="E38" i="4"/>
  <c r="G37" i="4"/>
  <c r="B29" i="8" s="1"/>
  <c r="E37" i="4"/>
  <c r="F37" i="4" s="1"/>
  <c r="C29" i="8" s="1"/>
  <c r="G36" i="4"/>
  <c r="B28" i="8" s="1"/>
  <c r="F36" i="4"/>
  <c r="C28" i="8" s="1"/>
  <c r="E36" i="4"/>
  <c r="G35" i="4"/>
  <c r="B27" i="8" s="1"/>
  <c r="E35" i="4"/>
  <c r="F35" i="4" s="1"/>
  <c r="C27" i="8" s="1"/>
  <c r="G34" i="4"/>
  <c r="B26" i="8" s="1"/>
  <c r="F34" i="4"/>
  <c r="C26" i="8" s="1"/>
  <c r="E34" i="4"/>
  <c r="G33" i="4"/>
  <c r="B25" i="8" s="1"/>
  <c r="E33" i="4"/>
  <c r="F33" i="4" s="1"/>
  <c r="C25" i="8" s="1"/>
  <c r="G31" i="4"/>
  <c r="B23" i="8" s="1"/>
  <c r="F31" i="4"/>
  <c r="C23" i="8" s="1"/>
  <c r="E31" i="4"/>
  <c r="G30" i="4"/>
  <c r="B22" i="8" s="1"/>
  <c r="E30" i="4"/>
  <c r="F30" i="4" s="1"/>
  <c r="C22" i="8" s="1"/>
  <c r="G29" i="4"/>
  <c r="B21" i="8" s="1"/>
  <c r="F29" i="4"/>
  <c r="C21" i="8" s="1"/>
  <c r="E29" i="4"/>
  <c r="G28" i="4"/>
  <c r="B20" i="8" s="1"/>
  <c r="E28" i="4"/>
  <c r="F28" i="4" s="1"/>
  <c r="C20" i="8" s="1"/>
  <c r="G27" i="4"/>
  <c r="B19" i="8" s="1"/>
  <c r="F27" i="4"/>
  <c r="C19" i="8" s="1"/>
  <c r="E27" i="4"/>
  <c r="G26" i="4"/>
  <c r="B18" i="8" s="1"/>
  <c r="E26" i="4"/>
  <c r="F26" i="4" s="1"/>
  <c r="C18" i="8" s="1"/>
  <c r="G25" i="4"/>
  <c r="B17" i="8" s="1"/>
  <c r="F25" i="4"/>
  <c r="C17" i="8" s="1"/>
  <c r="E25" i="4"/>
  <c r="G24" i="4"/>
  <c r="B16" i="8" s="1"/>
  <c r="E24" i="4"/>
  <c r="F24" i="4" s="1"/>
  <c r="C16" i="8" s="1"/>
  <c r="G22" i="4"/>
  <c r="B14" i="8" s="1"/>
  <c r="F22" i="4"/>
  <c r="C14" i="8" s="1"/>
  <c r="E22" i="4"/>
  <c r="G21" i="4"/>
  <c r="B13" i="8" s="1"/>
  <c r="E21" i="4"/>
  <c r="F21" i="4" s="1"/>
  <c r="C13" i="8" s="1"/>
  <c r="G20" i="4"/>
  <c r="B12" i="8" s="1"/>
  <c r="F20" i="4"/>
  <c r="C12" i="8" s="1"/>
  <c r="E20" i="4"/>
  <c r="G19" i="4"/>
  <c r="B11" i="8" s="1"/>
  <c r="E19" i="4"/>
  <c r="F19" i="4" s="1"/>
  <c r="C11" i="8" s="1"/>
  <c r="G18" i="4"/>
  <c r="B10" i="8" s="1"/>
  <c r="F18" i="4"/>
  <c r="C10" i="8" s="1"/>
  <c r="E18" i="4"/>
  <c r="G17" i="4"/>
  <c r="B9" i="8" s="1"/>
  <c r="E17" i="4"/>
  <c r="F17" i="4" s="1"/>
  <c r="C9" i="8" s="1"/>
  <c r="G16" i="4"/>
  <c r="B8" i="8" s="1"/>
  <c r="F16" i="4"/>
  <c r="C8" i="8" s="1"/>
  <c r="E16" i="4"/>
  <c r="G15" i="4"/>
  <c r="B7" i="8" s="1"/>
  <c r="E15" i="4"/>
  <c r="F15" i="4" s="1"/>
  <c r="C7" i="8" s="1"/>
  <c r="G14" i="4"/>
  <c r="B6" i="8" s="1"/>
  <c r="E14" i="4"/>
  <c r="F14" i="4" s="1"/>
  <c r="C6" i="8" s="1"/>
  <c r="G13" i="4"/>
  <c r="B5" i="8" s="1"/>
  <c r="E13" i="4"/>
  <c r="F13" i="4" s="1"/>
  <c r="C5" i="8" s="1"/>
  <c r="G12" i="4"/>
  <c r="B4" i="8" s="1"/>
  <c r="E12" i="4"/>
  <c r="F12" i="4" s="1"/>
  <c r="C4" i="8" s="1"/>
  <c r="G11" i="4"/>
  <c r="B3" i="8" s="1"/>
  <c r="E11" i="4"/>
  <c r="F11" i="4" s="1"/>
  <c r="C3" i="8" s="1"/>
  <c r="G10" i="4"/>
  <c r="B2" i="8" s="1"/>
  <c r="B5" i="3"/>
  <c r="A13" i="2"/>
  <c r="F10" i="4" l="1"/>
  <c r="C2" i="8" s="1"/>
  <c r="B2" i="9" s="1"/>
  <c r="D8" i="9"/>
  <c r="D7" i="9"/>
  <c r="D5" i="9"/>
  <c r="D3" i="9"/>
  <c r="B5" i="6"/>
  <c r="B4" i="5"/>
  <c r="D6" i="9"/>
  <c r="D4" i="9"/>
  <c r="D2" i="9"/>
  <c r="B6" i="9"/>
  <c r="B3" i="9"/>
  <c r="B5" i="9"/>
  <c r="B7" i="9"/>
  <c r="B4" i="9"/>
  <c r="E9" i="9" l="1"/>
  <c r="B9" i="9"/>
  <c r="E3" i="9"/>
  <c r="G2" i="9"/>
  <c r="E2" i="9"/>
  <c r="C2" i="9"/>
  <c r="G9" i="9"/>
  <c r="F4" i="9"/>
  <c r="F2" i="9"/>
  <c r="G5" i="9"/>
  <c r="E5" i="9"/>
  <c r="C5" i="9"/>
  <c r="F5" i="9"/>
  <c r="G4" i="9"/>
  <c r="E4" i="9"/>
  <c r="C4" i="9"/>
  <c r="G7" i="9"/>
  <c r="E7" i="9"/>
  <c r="C7" i="9"/>
  <c r="F7" i="9"/>
  <c r="G3" i="9"/>
  <c r="C3" i="9"/>
  <c r="F3" i="9"/>
  <c r="F8" i="9"/>
  <c r="G8" i="9"/>
  <c r="E8" i="9"/>
  <c r="G6" i="9"/>
  <c r="E6" i="9"/>
  <c r="C6" i="9"/>
  <c r="F6" i="9"/>
  <c r="C9" i="9" l="1"/>
  <c r="B14" i="9"/>
  <c r="K10" i="9" s="1"/>
  <c r="B9" i="5" s="1"/>
  <c r="M6" i="9"/>
  <c r="B38" i="5" s="1"/>
  <c r="K6" i="9"/>
  <c r="B23" i="6" s="1"/>
  <c r="B6" i="16"/>
  <c r="C6" i="16" s="1"/>
  <c r="C4" i="15"/>
  <c r="D4" i="15" s="1"/>
  <c r="C6" i="14"/>
  <c r="D6" i="14" s="1"/>
  <c r="L6" i="9"/>
  <c r="C23" i="6"/>
  <c r="J6" i="9"/>
  <c r="G13" i="2"/>
  <c r="L8" i="9"/>
  <c r="J8" i="9"/>
  <c r="B7" i="16"/>
  <c r="C7" i="16" s="1"/>
  <c r="C7" i="15"/>
  <c r="D7" i="15" s="1"/>
  <c r="C7" i="14"/>
  <c r="D7" i="14" s="1"/>
  <c r="M8" i="9"/>
  <c r="B40" i="5" s="1"/>
  <c r="K8" i="9"/>
  <c r="B25" i="6" s="1"/>
  <c r="C25" i="6"/>
  <c r="I13" i="2"/>
  <c r="M7" i="9"/>
  <c r="B39" i="5" s="1"/>
  <c r="K7" i="9"/>
  <c r="B24" i="6" s="1"/>
  <c r="J7" i="9"/>
  <c r="L7" i="9"/>
  <c r="C24" i="6"/>
  <c r="H13" i="2"/>
  <c r="M4" i="9"/>
  <c r="B36" i="5" s="1"/>
  <c r="K4" i="9"/>
  <c r="B21" i="6" s="1"/>
  <c r="B4" i="16"/>
  <c r="C4" i="16" s="1"/>
  <c r="C3" i="15"/>
  <c r="D3" i="15" s="1"/>
  <c r="C5" i="14"/>
  <c r="D5" i="14" s="1"/>
  <c r="L4" i="9"/>
  <c r="C21" i="6"/>
  <c r="J4" i="9"/>
  <c r="E13" i="2"/>
  <c r="B26" i="9"/>
  <c r="B27" i="9" s="1"/>
  <c r="M3" i="9"/>
  <c r="B35" i="5" s="1"/>
  <c r="K3" i="9"/>
  <c r="B20" i="6" s="1"/>
  <c r="J3" i="9"/>
  <c r="L3" i="9"/>
  <c r="C20" i="6"/>
  <c r="D13" i="2"/>
  <c r="M5" i="9"/>
  <c r="B37" i="5" s="1"/>
  <c r="K5" i="9"/>
  <c r="B22" i="6" s="1"/>
  <c r="B5" i="16"/>
  <c r="C5" i="16" s="1"/>
  <c r="C2" i="15"/>
  <c r="C4" i="14"/>
  <c r="D4" i="14" s="1"/>
  <c r="J5" i="9"/>
  <c r="L5" i="9"/>
  <c r="C22" i="6"/>
  <c r="F13" i="2"/>
  <c r="B43" i="9"/>
  <c r="B28" i="9"/>
  <c r="B29" i="9" s="1"/>
  <c r="B30" i="6" s="1"/>
  <c r="B25" i="9"/>
  <c r="C25" i="9" s="1"/>
  <c r="B23" i="9"/>
  <c r="B24" i="9" s="1"/>
  <c r="B12" i="9"/>
  <c r="E4" i="5" s="1"/>
  <c r="M2" i="9"/>
  <c r="B34" i="5" s="1"/>
  <c r="K2" i="9"/>
  <c r="B19" i="6" s="1"/>
  <c r="B2" i="16"/>
  <c r="C6" i="15"/>
  <c r="D6" i="15" s="1"/>
  <c r="C5" i="15"/>
  <c r="D5" i="15" s="1"/>
  <c r="C3" i="14"/>
  <c r="D3" i="14" s="1"/>
  <c r="C2" i="14"/>
  <c r="B44" i="9"/>
  <c r="B15" i="9"/>
  <c r="B13" i="9"/>
  <c r="L10" i="9" s="1"/>
  <c r="B11" i="9"/>
  <c r="L2" i="9"/>
  <c r="C19" i="6"/>
  <c r="J2" i="9"/>
  <c r="C13" i="2"/>
  <c r="B21" i="9"/>
  <c r="K9" i="9"/>
  <c r="B10" i="9" l="1"/>
  <c r="B20" i="9" s="1"/>
  <c r="B46" i="5" s="1"/>
  <c r="D2" i="15"/>
  <c r="C9" i="15"/>
  <c r="C21" i="9"/>
  <c r="E5" i="5" s="1"/>
  <c r="B4" i="7"/>
  <c r="B13" i="6"/>
  <c r="B30" i="9"/>
  <c r="B16" i="6" s="1"/>
  <c r="E8" i="5"/>
  <c r="B10" i="6"/>
  <c r="B16" i="9"/>
  <c r="B5" i="7"/>
  <c r="B11" i="6"/>
  <c r="E3" i="5"/>
  <c r="B32" i="9"/>
  <c r="B28" i="6" s="1"/>
  <c r="B33" i="9"/>
  <c r="B29" i="6" s="1"/>
  <c r="B3" i="7"/>
  <c r="B12" i="6"/>
  <c r="D2" i="14"/>
  <c r="C9" i="14"/>
  <c r="C2" i="16"/>
  <c r="B15" i="6"/>
  <c r="E7" i="5"/>
  <c r="B19" i="9" l="1"/>
  <c r="B45" i="5" s="1"/>
  <c r="B8" i="5"/>
  <c r="B31" i="9"/>
  <c r="E9" i="5" s="1"/>
  <c r="B13" i="2"/>
  <c r="B16" i="2" s="1"/>
  <c r="B17" i="2" s="1"/>
  <c r="B9" i="6"/>
  <c r="B22" i="9"/>
  <c r="G5" i="7" s="1" a="1"/>
  <c r="G5" i="7" s="1"/>
  <c r="C5" i="7"/>
  <c r="G4" i="7" a="1"/>
  <c r="G4" i="7" s="1"/>
  <c r="C4" i="7"/>
  <c r="F4" i="7" a="1"/>
  <c r="F4" i="7" s="1"/>
  <c r="D9" i="15"/>
  <c r="B3" i="16"/>
  <c r="B46" i="9"/>
  <c r="D9" i="14"/>
  <c r="B45" i="9"/>
  <c r="F3" i="7" a="1"/>
  <c r="F3" i="7" s="1"/>
  <c r="C3" i="7"/>
  <c r="B18" i="9"/>
  <c r="B17" i="9"/>
  <c r="B43" i="5" s="1"/>
  <c r="B14" i="6"/>
  <c r="B42" i="5"/>
  <c r="L9" i="9"/>
  <c r="E3" i="7" l="1"/>
  <c r="E4" i="7"/>
  <c r="C33" i="7" a="1"/>
  <c r="C33" i="7" s="1"/>
  <c r="C32" i="7" a="1"/>
  <c r="C32" i="7" s="1"/>
  <c r="C31" i="7" a="1"/>
  <c r="C31" i="7" s="1"/>
  <c r="C30" i="7" a="1"/>
  <c r="C30" i="7" s="1"/>
  <c r="C29" i="7" a="1"/>
  <c r="C29" i="7" s="1"/>
  <c r="C28" i="7" a="1"/>
  <c r="C28" i="7" s="1"/>
  <c r="C27" i="7" a="1"/>
  <c r="C27" i="7" s="1"/>
  <c r="C26" i="7" a="1"/>
  <c r="C26" i="7" s="1"/>
  <c r="C25" i="7" a="1"/>
  <c r="C25" i="7" s="1"/>
  <c r="C24" i="7" a="1"/>
  <c r="C24" i="7" s="1"/>
  <c r="C23" i="7" a="1"/>
  <c r="C23" i="7" s="1"/>
  <c r="B22" i="7" a="1"/>
  <c r="B22" i="7" s="1"/>
  <c r="B16" i="7" a="1"/>
  <c r="B16" i="7" s="1"/>
  <c r="B38" i="6" s="1"/>
  <c r="B14" i="7" a="1"/>
  <c r="B14" i="7" s="1"/>
  <c r="B36" i="6" s="1"/>
  <c r="C22" i="7" a="1"/>
  <c r="C22" i="7" s="1"/>
  <c r="C16" i="7" a="1"/>
  <c r="C16" i="7" s="1"/>
  <c r="C38" i="6" s="1"/>
  <c r="C14" i="7" a="1"/>
  <c r="C14" i="7" s="1"/>
  <c r="C36" i="6" s="1"/>
  <c r="B33" i="7" a="1"/>
  <c r="B33" i="7" s="1"/>
  <c r="B32" i="7" a="1"/>
  <c r="B32" i="7" s="1"/>
  <c r="B31" i="7" a="1"/>
  <c r="B31" i="7" s="1"/>
  <c r="B30" i="7" a="1"/>
  <c r="B30" i="7" s="1"/>
  <c r="B29" i="7" a="1"/>
  <c r="B29" i="7" s="1"/>
  <c r="B28" i="7" a="1"/>
  <c r="B28" i="7" s="1"/>
  <c r="B27" i="7" a="1"/>
  <c r="B27" i="7" s="1"/>
  <c r="B26" i="7" a="1"/>
  <c r="B26" i="7" s="1"/>
  <c r="B25" i="7" a="1"/>
  <c r="B25" i="7" s="1"/>
  <c r="B24" i="7" a="1"/>
  <c r="B24" i="7" s="1"/>
  <c r="B23" i="7" a="1"/>
  <c r="B23" i="7" s="1"/>
  <c r="B17" i="7" a="1"/>
  <c r="B17" i="7" s="1"/>
  <c r="B15" i="7" a="1"/>
  <c r="B15" i="7" s="1"/>
  <c r="B37" i="6" s="1"/>
  <c r="B13" i="7" a="1"/>
  <c r="B13" i="7" s="1"/>
  <c r="B35" i="6" s="1"/>
  <c r="C17" i="7" a="1"/>
  <c r="C17" i="7" s="1"/>
  <c r="C15" i="7" a="1"/>
  <c r="C15" i="7" s="1"/>
  <c r="C37" i="6" s="1"/>
  <c r="C13" i="7" a="1"/>
  <c r="C13" i="7" s="1"/>
  <c r="C35" i="6" s="1"/>
  <c r="E5" i="7"/>
  <c r="G3" i="7" a="1"/>
  <c r="G3" i="7" s="1"/>
  <c r="F5" i="7" a="1"/>
  <c r="F5" i="7" s="1"/>
  <c r="E6" i="5"/>
  <c r="A41" i="6"/>
  <c r="B31" i="6"/>
  <c r="B44" i="5"/>
  <c r="C3" i="16"/>
  <c r="C9" i="16" s="1"/>
  <c r="B47" i="9" s="1"/>
  <c r="C10" i="16"/>
</calcChain>
</file>

<file path=xl/sharedStrings.xml><?xml version="1.0" encoding="utf-8"?>
<sst xmlns="http://schemas.openxmlformats.org/spreadsheetml/2006/main" count="1259" uniqueCount="719">
  <si>
    <t xml:space="preserve"> LOLA  —  Child Development Assessment System 0 to 7 years</t>
  </si>
  <si>
    <t>© 2025 Rabiga Sagyndykova · LOLA System · All rights reserved · Resale prohibited</t>
  </si>
  <si>
    <t>Welcome! Follow the three steps below.</t>
  </si>
  <si>
    <t>1</t>
  </si>
  <si>
    <t>PASSPORT — enter child's details</t>
  </si>
  <si>
    <t>Go to the «PASSPORT» sheet and fill in:
  • Child's name
  • Date of birth
  • Today's assessment date
  • Mode: Normative (typical development) or Therapeutic (SEN)</t>
  </si>
  <si>
    <t>2</t>
  </si>
  <si>
    <t>CHECKLISTS — assess child's skills</t>
  </si>
  <si>
    <t xml:space="preserve"> Open the appropriate age sheet (0-1, 1-2 … 6-7).
For each skill enter a score in column D:
   2 — performs confidently, always
   1 — performs partially or sometimes
   0 — not yet performing
Column H contains a hint — what exactly counts as accomplished.
</t>
  </si>
  <si>
    <t>3</t>
  </si>
  <si>
    <t>RESULTS — read the profile and plan</t>
  </si>
  <si>
    <t>After filling the checklists everything is calculated automatically:
  • «RESULTS» sheet → profile across 7 domains + interpretation
  • «DEV PLAN» sheet → exercises for the weak domain
  • «REPORT» sheet → one page for printing and the specialist</t>
  </si>
  <si>
    <t>IMPORTANT INFORMATION</t>
  </si>
  <si>
    <t>⚠  The file is intended for one child.
When assessing a second child — make a copy of the file.
⚠  Results are indicative in nature
and do not replace a specialist consultation.</t>
  </si>
  <si>
    <t>✓  Update exercises: press F9
✓  Technical sheets are hidden.
Do not delete them — they are the system's engine.
✓  Growth dynamics → «GUIDE» sheet</t>
  </si>
  <si>
    <t xml:space="preserve"> © 2025 Rabiga Sagyndykova  ·  LOLA System  ·  Resale and transfer to third parties is prohibited</t>
  </si>
  <si>
    <t>Assessment results are for informational purposes only and do not replace professional consultation. Note: sensory-development norms and age groups after 5 years old rely on a less established evidence base than other spheres — treat them as especially approximate.</t>
  </si>
  <si>
    <t>Assessment Guide</t>
  </si>
  <si>
    <t>1. Fill in the child's passport</t>
  </si>
  <si>
    <t xml:space="preserve">2. Assess the child's skills on age sheets. </t>
  </si>
  <si>
    <t>3. View the results on the Results sheet.</t>
  </si>
  <si>
    <t>4. Pay attention to:</t>
  </si>
  <si>
    <t>* weak domains</t>
  </si>
  <si>
    <t>* recommendations</t>
  </si>
  <si>
    <t>* development dynamics</t>
  </si>
  <si>
    <t>Repeat the assessment every 3–6 months to track developmental progress.</t>
  </si>
  <si>
    <t>Tracking developmental progress over time</t>
  </si>
  <si>
    <t>Assessment date</t>
  </si>
  <si>
    <t>Average Index</t>
  </si>
  <si>
    <t>Gross Motor</t>
  </si>
  <si>
    <t>Fine Motor</t>
  </si>
  <si>
    <t>Speech</t>
  </si>
  <si>
    <t>Cognitive</t>
  </si>
  <si>
    <t>Emotional</t>
  </si>
  <si>
    <t>Social</t>
  </si>
  <si>
    <t>Self-Care</t>
  </si>
  <si>
    <t>Norm (90%)</t>
  </si>
  <si>
    <t>Progress Indicator</t>
  </si>
  <si>
    <t>Interpretation</t>
  </si>
  <si>
    <t>*The graph is shown on the Results sheet.</t>
  </si>
  <si>
    <t>When a parent does a follow-up assessment:</t>
  </si>
  <si>
    <t>1️⃣ copies the line</t>
  </si>
  <si>
    <t>2️⃣ inserts below</t>
  </si>
  <si>
    <t>3️⃣ Paste Special → Values</t>
  </si>
  <si>
    <t>in this way the story is saved</t>
  </si>
  <si>
    <t>child's name</t>
  </si>
  <si>
    <t>date of birth</t>
  </si>
  <si>
    <t>assessment date</t>
  </si>
  <si>
    <t>Actual age (months)</t>
  </si>
  <si>
    <t>Mode:</t>
  </si>
  <si>
    <t>Normative</t>
  </si>
  <si>
    <t>(Normative — for typically developing children; Therapeutic — for children with SEN)</t>
  </si>
  <si>
    <t>CHILD DEVELOPMENT CHECKLIST 0–12 MONTHS</t>
  </si>
  <si>
    <t>*with age norms and automatic scoring</t>
  </si>
  <si>
    <t>Rating scale (unified)</t>
  </si>
  <si>
    <t>0 — skill absent</t>
  </si>
  <si>
    <t>1 — emerging / inconsistent</t>
  </si>
  <si>
    <t>2 — established</t>
  </si>
  <si>
    <t>A skill is considered mastered if: E ≥ 80%</t>
  </si>
  <si>
    <t>Domain</t>
  </si>
  <si>
    <t>Skill</t>
  </si>
  <si>
    <t>Norm (mo.)</t>
  </si>
  <si>
    <t>Score (0-2)</t>
  </si>
  <si>
    <t>% mastery</t>
  </si>
  <si>
    <t>passed/no</t>
  </si>
  <si>
    <t>avg. norm</t>
  </si>
  <si>
    <t>Notes</t>
  </si>
  <si>
    <t>GROSS MOTOR DEVELOPMENT</t>
  </si>
  <si>
    <t>Holds head up while on tummy</t>
  </si>
  <si>
    <t>2-3</t>
  </si>
  <si>
    <t>Lifts head to 45° while on tummy and holds for at least 3–5 seconds</t>
  </si>
  <si>
    <t>Lifts head and chest on tummy</t>
  </si>
  <si>
    <t>Props on forearms and lifts head and upper chest</t>
  </si>
  <si>
    <t>Rolls from tummy to back</t>
  </si>
  <si>
    <t>3-4</t>
  </si>
  <si>
    <t>Rolls from tummy to back independently at least once</t>
  </si>
  <si>
    <t>Rolls from back to tummy</t>
  </si>
  <si>
    <t>4-5</t>
  </si>
  <si>
    <t>Rolls from back to tummy without outside help</t>
  </si>
  <si>
    <t>Holds head steady upright</t>
  </si>
  <si>
    <t>Head does not fall forward/back in upright position — held steadily</t>
  </si>
  <si>
    <t>Sits with support</t>
  </si>
  <si>
    <t>5-6</t>
  </si>
  <si>
    <t>Sits with support at torso or back without toppling</t>
  </si>
  <si>
    <t>Sits independently</t>
  </si>
  <si>
    <t>6-7</t>
  </si>
  <si>
    <t>Sits on flat surface without support for at least 10–15 seconds</t>
  </si>
  <si>
    <t>Crawls (any method)</t>
  </si>
  <si>
    <t>7-9</t>
  </si>
  <si>
    <t>Moves on all fours, on tummy or commando-style — any method</t>
  </si>
  <si>
    <t>Changes position independently</t>
  </si>
  <si>
    <t>6-8</t>
  </si>
  <si>
    <t>Independently transitions between positions: sit → lie → sit</t>
  </si>
  <si>
    <t>Pulls to stand</t>
  </si>
  <si>
    <t>8-9</t>
  </si>
  <si>
    <t>Pulls to stand using furniture or adult's hands</t>
  </si>
  <si>
    <t>Cruises along furniture</t>
  </si>
  <si>
    <t>9-11</t>
  </si>
  <si>
    <t>Cruises along support (sofa, table) holding with hands</t>
  </si>
  <si>
    <t>Stands alone</t>
  </si>
  <si>
    <t>10-11</t>
  </si>
  <si>
    <t>Stands independently without support for a few seconds</t>
  </si>
  <si>
    <t>Walks independently</t>
  </si>
  <si>
    <t>11-13</t>
  </si>
  <si>
    <t>Takes several independent steps without support</t>
  </si>
  <si>
    <t>FINE MOTOR SKILLS</t>
  </si>
  <si>
    <t>Grasps object in palm</t>
  </si>
  <si>
    <t>Reflexively or consciously closes fingers around an object on palm contact</t>
  </si>
  <si>
    <t>Holds object 5–10 sec</t>
  </si>
  <si>
    <t>Holds a rattle in fist for 5–10 seconds without dropping</t>
  </si>
  <si>
    <t>Reaches for objects intentionally</t>
  </si>
  <si>
    <t>Reaches for a toy intentionally — directed, not accidental</t>
  </si>
  <si>
    <t>Transfers object hand to hand</t>
  </si>
  <si>
    <t>Transfers object from one hand to the other consciously</t>
  </si>
  <si>
    <t>Bangs objects together</t>
  </si>
  <si>
    <t>Takes two objects and bangs them together or on a surface</t>
  </si>
  <si>
    <t>Manipulates toy</t>
  </si>
  <si>
    <t>Shakes, squeezes, drops, explores toy in multiple ways</t>
  </si>
  <si>
    <t>Pincer grasp</t>
  </si>
  <si>
    <t>9-10</t>
  </si>
  <si>
    <t>Picks up a small object (pea, crumb) with thumb and index finger</t>
  </si>
  <si>
    <t>Points with finger</t>
  </si>
  <si>
    <t>10-12</t>
  </si>
  <si>
    <t>Points extended index finger toward an object or person</t>
  </si>
  <si>
    <t>SENSORY DEVELOPMENT</t>
  </si>
  <si>
    <t xml:space="preserve">Sensory </t>
  </si>
  <si>
    <t>Fixes gaze on face</t>
  </si>
  <si>
    <t>1-2</t>
  </si>
  <si>
    <t>Makes eye contact and holds gaze on adult's face for 3–5 seconds</t>
  </si>
  <si>
    <t>Tracks moving object</t>
  </si>
  <si>
    <t>Tracks a slowly moving object — left, right, in a circle</t>
  </si>
  <si>
    <t>Responds to sound</t>
  </si>
  <si>
    <t>Startles, freezes or turns head in response to sound</t>
  </si>
  <si>
    <t>Turns head to sound</t>
  </si>
  <si>
    <t>Turns head toward sound source (voice, rattle)</t>
  </si>
  <si>
    <t>Recognises familiar voice</t>
  </si>
  <si>
    <t>Calms or brightens hearing mum/dad's voice among others</t>
  </si>
  <si>
    <t>Explores objects with mouth</t>
  </si>
  <si>
    <t>4-6</t>
  </si>
  <si>
    <t>Pulls objects to mouth, explores actively with tongue and gums</t>
  </si>
  <si>
    <t>Distinguishes familiar vs new objects</t>
  </si>
  <si>
    <t>6-9</t>
  </si>
  <si>
    <t>Looks longer or with interest at a new unfamiliar object</t>
  </si>
  <si>
    <t>SPEECH &amp; COMMUNICATION</t>
  </si>
  <si>
    <t>Coos</t>
  </si>
  <si>
    <t>Produces prolonged vowel sounds: "a-a", "oo-oo" — not crying, but "singing"</t>
  </si>
  <si>
    <t>Babbles</t>
  </si>
  <si>
    <t>Produces syllable chains: "ba-ba-ba", "da-da", "ma-ma" — not necessarily meaningful</t>
  </si>
  <si>
    <t>Responds to name</t>
  </si>
  <si>
    <t>Turns head, looks or changes behaviour when hearing own name</t>
  </si>
  <si>
    <t>Understands "no" tone</t>
  </si>
  <si>
    <t>Stops or freezes in response to a prohibiting tone of voice</t>
  </si>
  <si>
    <t>Understands simple words</t>
  </si>
  <si>
    <t>Understands "give", "no", "come here" — responds with action, no gesture needed</t>
  </si>
  <si>
    <t>Uses gestures (give, bye)</t>
  </si>
  <si>
    <t>8-10</t>
  </si>
  <si>
    <t>Waves bye-bye, reaches arms for "give me", nods no — all consciously</t>
  </si>
  <si>
    <t>Produces meaningful syllables</t>
  </si>
  <si>
    <t>Produces syllables with clear intent: "ma" looking at mum, "give" reaching for object</t>
  </si>
  <si>
    <t>Says first words</t>
  </si>
  <si>
    <t>10-14</t>
  </si>
  <si>
    <t>Uses 1–3 words meaningfully and consistently: mama, papa, give, here</t>
  </si>
  <si>
    <t>COGNITIVE DEVELOPMENT</t>
  </si>
  <si>
    <t>Shows interest in novelty</t>
  </si>
  <si>
    <t>Turns head to a new object, reaches for it, examines it</t>
  </si>
  <si>
    <t>Searches for hidden object</t>
  </si>
  <si>
    <t>Searches for object covered right in front of them — lifts cloth or reaches</t>
  </si>
  <si>
    <t>Understands cause and effect</t>
  </si>
  <si>
    <t>Presses button — waits for sound; drops — waits for fall; understands if–then</t>
  </si>
  <si>
    <t>Imitates adult actions</t>
  </si>
  <si>
    <t>Copies simple adult action: claps hands, waves</t>
  </si>
  <si>
    <t>Uses object functionally</t>
  </si>
  <si>
    <t>9-12</t>
  </si>
  <si>
    <t>Brings spoon to mouth, cup to lips, comb to head — correctly</t>
  </si>
  <si>
    <t>EMOTIONAL DEVELOPMENT</t>
  </si>
  <si>
    <t>Social smile</t>
  </si>
  <si>
    <t>Smiles in response to adult's smile — not only from physical comfort</t>
  </si>
  <si>
    <t>Expresses joy</t>
  </si>
  <si>
    <t>Laughs, moves animatedly during play or pleasant interaction</t>
  </si>
  <si>
    <t>Expresses displeasure</t>
  </si>
  <si>
    <t>Cries or whines at discomfort, hunger, boredom — distinguishable by situation</t>
  </si>
  <si>
    <t>Distinguishes familiar and strangers</t>
  </si>
  <si>
    <t>Reaches for familiar people, tenses or cries with strangers</t>
  </si>
  <si>
    <t>Shows attachment</t>
  </si>
  <si>
    <t>Reaches for mum/dad, calms in arms of a familiar person</t>
  </si>
  <si>
    <t>Soothes with adult help</t>
  </si>
  <si>
    <t>8-12</t>
  </si>
  <si>
    <t>Stops crying when adult picks up, talks or soothes</t>
  </si>
  <si>
    <t>SOCIAL DEVELOPMENT</t>
  </si>
  <si>
    <t>Makes eye contact</t>
  </si>
  <si>
    <t>Looks into adult's eyes for several seconds without looking away</t>
  </si>
  <si>
    <t>Smiles back</t>
  </si>
  <si>
    <t>Smiles back at adult's smile — not just making a face</t>
  </si>
  <si>
    <t>Initiates interaction</t>
  </si>
  <si>
    <t>Coos, smiles, looks — independently attracting adult's attention</t>
  </si>
  <si>
    <t>Plays simple games (pat-a-cake)</t>
  </si>
  <si>
    <t>Claps in response to clapping game, waves bye on request</t>
  </si>
  <si>
    <t>Shows interest in other children</t>
  </si>
  <si>
    <t>Watches another child, reaches toward them, smiles</t>
  </si>
  <si>
    <t>Child's passport</t>
  </si>
  <si>
    <t>Strong and Weak Areas</t>
  </si>
  <si>
    <t>Results interpretation</t>
  </si>
  <si>
    <t>Field</t>
  </si>
  <si>
    <t>Meaning</t>
  </si>
  <si>
    <t>Indicator</t>
  </si>
  <si>
    <t>Formula</t>
  </si>
  <si>
    <t>90–100% — age norm</t>
  </si>
  <si>
    <t>Name</t>
  </si>
  <si>
    <t>Strongest domain</t>
  </si>
  <si>
    <t>75–89% — mild delay</t>
  </si>
  <si>
    <t>Age</t>
  </si>
  <si>
    <t>Development Zone</t>
  </si>
  <si>
    <t>50–74% —  moderate delay</t>
  </si>
  <si>
    <t>Zone of proximal development</t>
  </si>
  <si>
    <t>&lt;50% — severe delay</t>
  </si>
  <si>
    <t>General Conclusion</t>
  </si>
  <si>
    <t>* The radar chart displays the development structure      *The bar chart shows the percentage relative to the age-norm.                 * Strong Area — a foundation for further development.         * Weak Area — a priority for intervention.</t>
  </si>
  <si>
    <t>Mode</t>
  </si>
  <si>
    <t>Developmental Harmony Index</t>
  </si>
  <si>
    <t>Average Development Level</t>
  </si>
  <si>
    <t>Functional Development Level</t>
  </si>
  <si>
    <t>Developmental Lag</t>
  </si>
  <si>
    <t>Recommendation</t>
  </si>
  <si>
    <t>*The radar chart displays the development structure. The more symmetrical the shape, the more balanced the development.</t>
  </si>
  <si>
    <t>*Dips indicate areas requiring additional support.</t>
  </si>
  <si>
    <t>*The bar chart shows the percentage relative to the age-norm.</t>
  </si>
  <si>
    <t>*The red line indicates the age-norm threshold (90%).</t>
  </si>
  <si>
    <t>DEVELOPMENT RECOMMENDATIONS</t>
  </si>
  <si>
    <t>Child development Profile</t>
  </si>
  <si>
    <t>Explanantion</t>
  </si>
  <si>
    <t>Development strategy</t>
  </si>
  <si>
    <t>Development Pace</t>
  </si>
  <si>
    <t>Development Forecast</t>
  </si>
  <si>
    <t>CHILD DEVELOPMENT ASSESSMENT REPORT</t>
  </si>
  <si>
    <t>PASSPORT</t>
  </si>
  <si>
    <t>Child's name</t>
  </si>
  <si>
    <t>Child age (months)</t>
  </si>
  <si>
    <t>Assessment mode</t>
  </si>
  <si>
    <t>DEVELOPMENT PROFILE</t>
  </si>
  <si>
    <t>Average development index</t>
  </si>
  <si>
    <t>Developmental age (range)</t>
  </si>
  <si>
    <t>Priority domain (weakest)</t>
  </si>
  <si>
    <t>Profile type</t>
  </si>
  <si>
    <t>Harmony level</t>
  </si>
  <si>
    <t>Risk assessment</t>
  </si>
  <si>
    <t>DOMAIN SCORES</t>
  </si>
  <si>
    <t>Level</t>
  </si>
  <si>
    <t>% norm</t>
  </si>
  <si>
    <t>RECOMMENDATIONS</t>
  </si>
  <si>
    <t>Recommended specialist</t>
  </si>
  <si>
    <t>Recommended therapy</t>
  </si>
  <si>
    <t>Session load</t>
  </si>
  <si>
    <t>WEEKLY PLAN (random selection)</t>
  </si>
  <si>
    <t>Exercise</t>
  </si>
  <si>
    <t>Description</t>
  </si>
  <si>
    <t>Monday</t>
  </si>
  <si>
    <t>Tuesday</t>
  </si>
  <si>
    <t>Wednesday</t>
  </si>
  <si>
    <t>Thursday</t>
  </si>
  <si>
    <t>Friday</t>
  </si>
  <si>
    <t>SUMMARY</t>
  </si>
  <si>
    <t>* Results are indicative and do not replace a specialist consultation.</t>
  </si>
  <si>
    <t>To renew the plan press functional button F9</t>
  </si>
  <si>
    <t>Direction</t>
  </si>
  <si>
    <t>What should be developed</t>
  </si>
  <si>
    <t>Recommendations</t>
  </si>
  <si>
    <t>Frequency</t>
  </si>
  <si>
    <t>Recommended exercise</t>
  </si>
  <si>
    <t>Priority Development</t>
  </si>
  <si>
    <t>Supporting Area</t>
  </si>
  <si>
    <t>It is advised to dedicate 20–30 minutes daily to child development through play and everyday situations.</t>
  </si>
  <si>
    <t>PLAN for a WEEK</t>
  </si>
  <si>
    <t>Day</t>
  </si>
  <si>
    <t>PLAN for 3 WEEKS</t>
  </si>
  <si>
    <t>Week</t>
  </si>
  <si>
    <t>Week 1</t>
  </si>
  <si>
    <t>Week 2</t>
  </si>
  <si>
    <t>Week 3</t>
  </si>
  <si>
    <t>Week 4</t>
  </si>
  <si>
    <t>Week 5</t>
  </si>
  <si>
    <t>Week 6</t>
  </si>
  <si>
    <t>Week 7</t>
  </si>
  <si>
    <t>Week 8</t>
  </si>
  <si>
    <t>Week 9</t>
  </si>
  <si>
    <t>Week 10</t>
  </si>
  <si>
    <t>Week 11</t>
  </si>
  <si>
    <t>Week 12</t>
  </si>
  <si>
    <t>Passed</t>
  </si>
  <si>
    <t>Age sheet</t>
  </si>
  <si>
    <t>Weight</t>
  </si>
  <si>
    <t>Developmental age (months)</t>
  </si>
  <si>
    <t>Developmental age (years)</t>
  </si>
  <si>
    <t>Difference (months)</t>
  </si>
  <si>
    <t>% of age</t>
  </si>
  <si>
    <t>Lag (years)</t>
  </si>
  <si>
    <t>Norm</t>
  </si>
  <si>
    <t>Domain weight</t>
  </si>
  <si>
    <t>Weighted %</t>
  </si>
  <si>
    <t>Brief Conclusion</t>
  </si>
  <si>
    <t>Norm 90%</t>
  </si>
  <si>
    <t>Average developmental age</t>
  </si>
  <si>
    <t>Minimal age</t>
  </si>
  <si>
    <t>Max.Age</t>
  </si>
  <si>
    <t>Recommendations are for informational purposes only and do not replace a consultation with a specialist. Re-evaluate regularly (every 3–6 months) to track developmental progress.</t>
  </si>
  <si>
    <t>Strong Area</t>
  </si>
  <si>
    <t>Colouring of domains</t>
  </si>
  <si>
    <t>Area needing most attention</t>
  </si>
  <si>
    <t xml:space="preserve">%   </t>
  </si>
  <si>
    <t>Colour</t>
  </si>
  <si>
    <t>% difference</t>
  </si>
  <si>
    <t xml:space="preserve">≥ 90%  </t>
  </si>
  <si>
    <t>green</t>
  </si>
  <si>
    <t>age norm</t>
  </si>
  <si>
    <t>Difference from age norm</t>
  </si>
  <si>
    <t xml:space="preserve">75–89% </t>
  </si>
  <si>
    <t>yellow</t>
  </si>
  <si>
    <t>mild delay</t>
  </si>
  <si>
    <t>Work priority (weakest domain)</t>
  </si>
  <si>
    <t xml:space="preserve">50–74% </t>
  </si>
  <si>
    <t>orange</t>
  </si>
  <si>
    <t>moderate delay</t>
  </si>
  <si>
    <t>Child development profile</t>
  </si>
  <si>
    <t xml:space="preserve">&lt; 50%  </t>
  </si>
  <si>
    <t>red</t>
  </si>
  <si>
    <t>significant</t>
  </si>
  <si>
    <t>Profile explanation</t>
  </si>
  <si>
    <t>Pace assessment</t>
  </si>
  <si>
    <t>Development forecast</t>
  </si>
  <si>
    <t>ZPD</t>
  </si>
  <si>
    <t>development level</t>
  </si>
  <si>
    <t>Dev.Harmony index</t>
  </si>
  <si>
    <t>Development potential index</t>
  </si>
  <si>
    <t>Functional independence index</t>
  </si>
  <si>
    <t>F.ind. Interpretation</t>
  </si>
  <si>
    <t>Correction load index</t>
  </si>
  <si>
    <t>Session load recommendation</t>
  </si>
  <si>
    <t>Risk level</t>
  </si>
  <si>
    <t>Development dynamics</t>
  </si>
  <si>
    <t>Date</t>
  </si>
  <si>
    <t>average index</t>
  </si>
  <si>
    <t>%</t>
  </si>
  <si>
    <t>2nd priority (2nd weakest domain)</t>
  </si>
  <si>
    <t>3rd priority (3rd weakest domain)</t>
  </si>
  <si>
    <t>Most vulnerable neurofunction</t>
  </si>
  <si>
    <t>Most vulnerable sensory system</t>
  </si>
  <si>
    <t>Possible causes of difficulties</t>
  </si>
  <si>
    <t>basic</t>
  </si>
  <si>
    <t>Rolling to side</t>
  </si>
  <si>
    <t>hip support</t>
  </si>
  <si>
    <t>Rolling to tummy</t>
  </si>
  <si>
    <t>over shoulder</t>
  </si>
  <si>
    <t>Crawling to toy</t>
  </si>
  <si>
    <t>forward motivation</t>
  </si>
  <si>
    <t>Supported crawling</t>
  </si>
  <si>
    <t>leg assistance</t>
  </si>
  <si>
    <t>Head lifting</t>
  </si>
  <si>
    <t>lying on tummy</t>
  </si>
  <si>
    <t>Prop on elbows</t>
  </si>
  <si>
    <t>arm support</t>
  </si>
  <si>
    <t>Rocking on all fours</t>
  </si>
  <si>
    <t>back and forth</t>
  </si>
  <si>
    <t>All-fours position</t>
  </si>
  <si>
    <t>holding</t>
  </si>
  <si>
    <t>Fitball positioning</t>
  </si>
  <si>
    <t>trunk support</t>
  </si>
  <si>
    <t>Leg lifts lying</t>
  </si>
  <si>
    <t>with assistance</t>
  </si>
  <si>
    <t>developing</t>
  </si>
  <si>
    <t>Crawling over pillow</t>
  </si>
  <si>
    <t>small obstacle</t>
  </si>
  <si>
    <t>Standing at support</t>
  </si>
  <si>
    <t>hand assistance</t>
  </si>
  <si>
    <t>Cruising along support</t>
  </si>
  <si>
    <t>sideways movement</t>
  </si>
  <si>
    <t>Supported squats</t>
  </si>
  <si>
    <t>hold hands</t>
  </si>
  <si>
    <t>Weight shifting</t>
  </si>
  <si>
    <t>left–right</t>
  </si>
  <si>
    <t>Walking with support</t>
  </si>
  <si>
    <t>two hands</t>
  </si>
  <si>
    <t>Rising on toes</t>
  </si>
  <si>
    <t>with help</t>
  </si>
  <si>
    <t>Reaching up</t>
  </si>
  <si>
    <t>to toy</t>
  </si>
  <si>
    <t>Sitting balance</t>
  </si>
  <si>
    <t>on ball</t>
  </si>
  <si>
    <t>advanced</t>
  </si>
  <si>
    <t>Walking unsupported</t>
  </si>
  <si>
    <t>short steps</t>
  </si>
  <si>
    <t>Stepping over obstacles</t>
  </si>
  <si>
    <t>low objects</t>
  </si>
  <si>
    <t>Jumping in place</t>
  </si>
  <si>
    <t>with support</t>
  </si>
  <si>
    <t>Running in room</t>
  </si>
  <si>
    <t>short distance</t>
  </si>
  <si>
    <t>Climbing onto sofa</t>
  </si>
  <si>
    <t>independently</t>
  </si>
  <si>
    <t>Standing on one foot</t>
  </si>
  <si>
    <t>2–3 seconds</t>
  </si>
  <si>
    <t>Climbing stairs</t>
  </si>
  <si>
    <t>Descending stairs</t>
  </si>
  <si>
    <t>controlled movement</t>
  </si>
  <si>
    <t>Throwing a ball</t>
  </si>
  <si>
    <t>forward</t>
  </si>
  <si>
    <t>Catching a ball</t>
  </si>
  <si>
    <t>Squeezing a sponge</t>
  </si>
  <si>
    <t>soft</t>
  </si>
  <si>
    <t>Whole-hand grasp</t>
  </si>
  <si>
    <t>large object</t>
  </si>
  <si>
    <t>Transferring objects</t>
  </si>
  <si>
    <t>hand to hand</t>
  </si>
  <si>
    <t>Banging objects</t>
  </si>
  <si>
    <t>coordination</t>
  </si>
  <si>
    <t>Water play</t>
  </si>
  <si>
    <t>with hands</t>
  </si>
  <si>
    <t>Pouring cereal</t>
  </si>
  <si>
    <t>Touching textures</t>
  </si>
  <si>
    <t>various materials</t>
  </si>
  <si>
    <t>Kneading playdough</t>
  </si>
  <si>
    <t>Tearing pieces</t>
  </si>
  <si>
    <t>large</t>
  </si>
  <si>
    <t>Pressing with finger</t>
  </si>
  <si>
    <t>buttons</t>
  </si>
  <si>
    <t>two fingers</t>
  </si>
  <si>
    <t>Clothespins</t>
  </si>
  <si>
    <t>Stringing large beads</t>
  </si>
  <si>
    <t>on cord</t>
  </si>
  <si>
    <t>Opening boxes</t>
  </si>
  <si>
    <t>simple</t>
  </si>
  <si>
    <t>Screwing lids</t>
  </si>
  <si>
    <t>Drawing lines</t>
  </si>
  <si>
    <t>wide</t>
  </si>
  <si>
    <t>Drawing dots</t>
  </si>
  <si>
    <t>Shape sorter</t>
  </si>
  <si>
    <t>shapes</t>
  </si>
  <si>
    <t>Pouring water</t>
  </si>
  <si>
    <t>with spoon</t>
  </si>
  <si>
    <t>Sand play</t>
  </si>
  <si>
    <t>with shovel</t>
  </si>
  <si>
    <t>Stringing small beads</t>
  </si>
  <si>
    <t>accuracy</t>
  </si>
  <si>
    <t>Tight clothespins</t>
  </si>
  <si>
    <t>effort</t>
  </si>
  <si>
    <t>Tracing outline</t>
  </si>
  <si>
    <t>thin</t>
  </si>
  <si>
    <t>Drawing shapes</t>
  </si>
  <si>
    <t>circle, square</t>
  </si>
  <si>
    <t>Fastening buttons</t>
  </si>
  <si>
    <t>small</t>
  </si>
  <si>
    <t>Zipper</t>
  </si>
  <si>
    <t>Lacing</t>
  </si>
  <si>
    <t>small objects</t>
  </si>
  <si>
    <t>Sorting small items</t>
  </si>
  <si>
    <t>by colour</t>
  </si>
  <si>
    <t>Using scissors</t>
  </si>
  <si>
    <t>safety</t>
  </si>
  <si>
    <t>Repeating vowels</t>
  </si>
  <si>
    <t>a, oo, oh</t>
  </si>
  <si>
    <t>Responding to name</t>
  </si>
  <si>
    <t>response</t>
  </si>
  <si>
    <t>Animal sounds</t>
  </si>
  <si>
    <t>meow, woof</t>
  </si>
  <si>
    <t>Everyday sounds</t>
  </si>
  <si>
    <t>beep-beep</t>
  </si>
  <si>
    <t>Pointing with finger</t>
  </si>
  <si>
    <t>at object</t>
  </si>
  <si>
    <t>Understanding "give"</t>
  </si>
  <si>
    <t>simple command</t>
  </si>
  <si>
    <t>Understanding "here"</t>
  </si>
  <si>
    <t>transfer</t>
  </si>
  <si>
    <t>"More" gesture</t>
  </si>
  <si>
    <t>request</t>
  </si>
  <si>
    <t>Listening to speech</t>
  </si>
  <si>
    <t>short phrases</t>
  </si>
  <si>
    <t>Eye contact</t>
  </si>
  <si>
    <t>2–3 sec</t>
  </si>
  <si>
    <t>Repeating syllables</t>
  </si>
  <si>
    <t>ma-ma</t>
  </si>
  <si>
    <t>Show the object</t>
  </si>
  <si>
    <t>choice</t>
  </si>
  <si>
    <t>Show body part</t>
  </si>
  <si>
    <t>nose, mouth</t>
  </si>
  <si>
    <t>Follow command</t>
  </si>
  <si>
    <t>1 action</t>
  </si>
  <si>
    <t>Choose from two</t>
  </si>
  <si>
    <t>objects</t>
  </si>
  <si>
    <t>Repeating words</t>
  </si>
  <si>
    <t>"Where?" game</t>
  </si>
  <si>
    <t>searching</t>
  </si>
  <si>
    <t>Cards</t>
  </si>
  <si>
    <t>Gesture response</t>
  </si>
  <si>
    <t>yes/no</t>
  </si>
  <si>
    <t>Imitation</t>
  </si>
  <si>
    <t>actions</t>
  </si>
  <si>
    <t>2-word phrases</t>
  </si>
  <si>
    <t>mama give</t>
  </si>
  <si>
    <t>Word response</t>
  </si>
  <si>
    <t>Naming objects</t>
  </si>
  <si>
    <t>actively</t>
  </si>
  <si>
    <t>What is he doing</t>
  </si>
  <si>
    <t>Completion</t>
  </si>
  <si>
    <t>word ending</t>
  </si>
  <si>
    <t>Describing picture</t>
  </si>
  <si>
    <t>Question–answer</t>
  </si>
  <si>
    <t>dialogue</t>
  </si>
  <si>
    <t>Singing songs</t>
  </si>
  <si>
    <t>short</t>
  </si>
  <si>
    <t>Repeating phrases</t>
  </si>
  <si>
    <t>3–4 words</t>
  </si>
  <si>
    <t>Retelling</t>
  </si>
  <si>
    <t>Find the object</t>
  </si>
  <si>
    <t>one</t>
  </si>
  <si>
    <t>Matching</t>
  </si>
  <si>
    <t>object-picture</t>
  </si>
  <si>
    <t>Cause-effect</t>
  </si>
  <si>
    <t>button-sound</t>
  </si>
  <si>
    <t>Button play</t>
  </si>
  <si>
    <t>pressing</t>
  </si>
  <si>
    <t>Block tower</t>
  </si>
  <si>
    <t>2–3</t>
  </si>
  <si>
    <t>Sort 2 colours</t>
  </si>
  <si>
    <t>Big–small</t>
  </si>
  <si>
    <t>difference</t>
  </si>
  <si>
    <t>One–many</t>
  </si>
  <si>
    <t>understanding</t>
  </si>
  <si>
    <t>Up–down</t>
  </si>
  <si>
    <t>orientation</t>
  </si>
  <si>
    <t>In–out</t>
  </si>
  <si>
    <t>2–4 piece puzzle</t>
  </si>
  <si>
    <t>assemble</t>
  </si>
  <si>
    <t>Find the match</t>
  </si>
  <si>
    <t>pairs</t>
  </si>
  <si>
    <t>Find the odd one</t>
  </si>
  <si>
    <t>3 objects</t>
  </si>
  <si>
    <t>Memory 2 cards</t>
  </si>
  <si>
    <t>memorise</t>
  </si>
  <si>
    <t>Grouping</t>
  </si>
  <si>
    <t>by attribute</t>
  </si>
  <si>
    <t>Sequence</t>
  </si>
  <si>
    <t>2 steps</t>
  </si>
  <si>
    <t>Comparing</t>
  </si>
  <si>
    <t>bigger-smaller</t>
  </si>
  <si>
    <t>Simple tasks</t>
  </si>
  <si>
    <t>logic</t>
  </si>
  <si>
    <t>Building set</t>
  </si>
  <si>
    <t>by model</t>
  </si>
  <si>
    <t>Pretend play</t>
  </si>
  <si>
    <t>doll</t>
  </si>
  <si>
    <t>5–10 piece puzzle</t>
  </si>
  <si>
    <t>harder</t>
  </si>
  <si>
    <t>Memory 4 cards</t>
  </si>
  <si>
    <t>increase</t>
  </si>
  <si>
    <t>What changed</t>
  </si>
  <si>
    <t>analysis</t>
  </si>
  <si>
    <t>What is missing</t>
  </si>
  <si>
    <t>memory</t>
  </si>
  <si>
    <t>Logic chains</t>
  </si>
  <si>
    <t>sequence</t>
  </si>
  <si>
    <t>Classification</t>
  </si>
  <si>
    <t>multiple attributes</t>
  </si>
  <si>
    <t>Planning</t>
  </si>
  <si>
    <t>2–3 actions</t>
  </si>
  <si>
    <t>Simple problems</t>
  </si>
  <si>
    <t>Role play</t>
  </si>
  <si>
    <t>scenario</t>
  </si>
  <si>
    <t>Problem solving</t>
  </si>
  <si>
    <t>Smile back</t>
  </si>
  <si>
    <t>reaction</t>
  </si>
  <si>
    <t>sustained</t>
  </si>
  <si>
    <t>Respond to voice</t>
  </si>
  <si>
    <t>turn</t>
  </si>
  <si>
    <t>Self-soothing</t>
  </si>
  <si>
    <t>Accepting contact</t>
  </si>
  <si>
    <t>hugs</t>
  </si>
  <si>
    <t>Recognising familiar people</t>
  </si>
  <si>
    <t>differentiation</t>
  </si>
  <si>
    <t>Joy</t>
  </si>
  <si>
    <t>expression</t>
  </si>
  <si>
    <t>Displeasure</t>
  </si>
  <si>
    <t>signal</t>
  </si>
  <si>
    <t>Waiting</t>
  </si>
  <si>
    <t>Respond to praise</t>
  </si>
  <si>
    <t>smile</t>
  </si>
  <si>
    <t>Expressing emotions</t>
  </si>
  <si>
    <t>with words</t>
  </si>
  <si>
    <t>Controlling emotions</t>
  </si>
  <si>
    <t>Understanding emotions</t>
  </si>
  <si>
    <t>others</t>
  </si>
  <si>
    <t>Switching</t>
  </si>
  <si>
    <t>from crying</t>
  </si>
  <si>
    <t>Patience</t>
  </si>
  <si>
    <t>waiting</t>
  </si>
  <si>
    <t>Peek-a-boo</t>
  </si>
  <si>
    <t>joint</t>
  </si>
  <si>
    <t>Joint attention</t>
  </si>
  <si>
    <t>looking</t>
  </si>
  <si>
    <t>Contact with adult</t>
  </si>
  <si>
    <t>play</t>
  </si>
  <si>
    <t>Respond to name</t>
  </si>
  <si>
    <t>Play with adult</t>
  </si>
  <si>
    <t>turn-taking</t>
  </si>
  <si>
    <t>Play near children</t>
  </si>
  <si>
    <t>alongside</t>
  </si>
  <si>
    <t>Asking for help</t>
  </si>
  <si>
    <t>gesture</t>
  </si>
  <si>
    <t>Sharing toys</t>
  </si>
  <si>
    <t>with prompt</t>
  </si>
  <si>
    <t>Waiting for turn</t>
  </si>
  <si>
    <t>Cooperative play</t>
  </si>
  <si>
    <t>Communication with words</t>
  </si>
  <si>
    <t>requests</t>
  </si>
  <si>
    <t>Following rules</t>
  </si>
  <si>
    <t>Dialogue</t>
  </si>
  <si>
    <t>Initiative</t>
  </si>
  <si>
    <t>contact</t>
  </si>
  <si>
    <t>Holding spoon</t>
  </si>
  <si>
    <t>Drinking from cup</t>
  </si>
  <si>
    <t>support</t>
  </si>
  <si>
    <t>Face washing</t>
  </si>
  <si>
    <t>assistance</t>
  </si>
  <si>
    <t>Removing socks</t>
  </si>
  <si>
    <t>partially</t>
  </si>
  <si>
    <t>Sitting at table</t>
  </si>
  <si>
    <t>briefly</t>
  </si>
  <si>
    <t>Eating with spoon</t>
  </si>
  <si>
    <t>Drinking independently</t>
  </si>
  <si>
    <t>neatly</t>
  </si>
  <si>
    <t>Putting on hat</t>
  </si>
  <si>
    <t>Tidying toys</t>
  </si>
  <si>
    <t>on request</t>
  </si>
  <si>
    <t>1 min</t>
  </si>
  <si>
    <t>Eating independently</t>
  </si>
  <si>
    <t>fully</t>
  </si>
  <si>
    <t>Dressing</t>
  </si>
  <si>
    <t>Hygiene</t>
  </si>
  <si>
    <t>hands</t>
  </si>
  <si>
    <t>Choosing clothes</t>
  </si>
  <si>
    <t>consciously</t>
  </si>
  <si>
    <t>Requesting toileting</t>
  </si>
  <si>
    <t>Light stimulation</t>
  </si>
  <si>
    <t>Regular work</t>
  </si>
  <si>
    <t>Priority correction</t>
  </si>
  <si>
    <t>Recommended: more active play</t>
  </si>
  <si>
    <t>Recommended: coordination exercises</t>
  </si>
  <si>
    <t>Recommended: physiotherapy consultation</t>
  </si>
  <si>
    <t>Recommended: playdough activities</t>
  </si>
  <si>
    <t>Recommended: mosaics, lacing</t>
  </si>
  <si>
    <t>Recommended: daily exercises</t>
  </si>
  <si>
    <t>Recommended: reading books</t>
  </si>
  <si>
    <t>Recommended: active dialogue</t>
  </si>
  <si>
    <t>Recommended: speech therapy</t>
  </si>
  <si>
    <t>Recommended: simple tasks</t>
  </si>
  <si>
    <t>Recommended: puzzles, sorting</t>
  </si>
  <si>
    <t>Recommended: structured sessions</t>
  </si>
  <si>
    <t>Recommended: discussing emotions</t>
  </si>
  <si>
    <t>Recommended: role play</t>
  </si>
  <si>
    <t>Recommended: psychologist support</t>
  </si>
  <si>
    <t>Recommended: joint play</t>
  </si>
  <si>
    <t>Recommended: communication rules</t>
  </si>
  <si>
    <t>Recommended: specialist support</t>
  </si>
  <si>
    <t>Recommended: encourage independence</t>
  </si>
  <si>
    <t>Recommended: skill training</t>
  </si>
  <si>
    <t>Recommended: daily support</t>
  </si>
  <si>
    <t>Specialist</t>
  </si>
  <si>
    <t>Physiotherapist / PT</t>
  </si>
  <si>
    <t>Therapeutic exercise, physiotherapy</t>
  </si>
  <si>
    <t>Occupational therapist</t>
  </si>
  <si>
    <t>Occupational therapy, sensory integration</t>
  </si>
  <si>
    <t>Speech-language therapist</t>
  </si>
  <si>
    <t>Speech therapy sessions, AAC</t>
  </si>
  <si>
    <t>Neuropsychologist</t>
  </si>
  <si>
    <t>Neuropsychological correction</t>
  </si>
  <si>
    <t>Psychologist</t>
  </si>
  <si>
    <t>Behavioural therapy, art therapy</t>
  </si>
  <si>
    <t>Behavioural therapist / ABA</t>
  </si>
  <si>
    <t>ABA therapy, social groups</t>
  </si>
  <si>
    <t>Daily living rehabilitation</t>
  </si>
  <si>
    <t>Neurofunction</t>
  </si>
  <si>
    <t>Related domains</t>
  </si>
  <si>
    <t>Index (0–1)</t>
  </si>
  <si>
    <t>Motor control</t>
  </si>
  <si>
    <t>Gross Motor, Fine Motor</t>
  </si>
  <si>
    <t>Sensory integration</t>
  </si>
  <si>
    <t>Gross Motor, Emotional</t>
  </si>
  <si>
    <t>Executive functions</t>
  </si>
  <si>
    <t>Communication</t>
  </si>
  <si>
    <t>Speech, Social</t>
  </si>
  <si>
    <t>Self-regulation</t>
  </si>
  <si>
    <t>Adaptation</t>
  </si>
  <si>
    <t>Most vulnerable function</t>
  </si>
  <si>
    <t>Sensory system</t>
  </si>
  <si>
    <t>Recommended practices</t>
  </si>
  <si>
    <t>Vision</t>
  </si>
  <si>
    <t>Cognitive, Fine Motor</t>
  </si>
  <si>
    <t>Contrast object play, sorting</t>
  </si>
  <si>
    <t>Hearing</t>
  </si>
  <si>
    <t>Sound games, music sessions</t>
  </si>
  <si>
    <t>Tactile system</t>
  </si>
  <si>
    <t>Emotional, Fine Motor</t>
  </si>
  <si>
    <t>Texture play, finger exercises</t>
  </si>
  <si>
    <t>Proprioception</t>
  </si>
  <si>
    <t>Resistance exercises, massage</t>
  </si>
  <si>
    <t>Vestibular system</t>
  </si>
  <si>
    <t>Swings, balance exercises</t>
  </si>
  <si>
    <t>Interoception</t>
  </si>
  <si>
    <t>Eating and sleep routines, mindfulness</t>
  </si>
  <si>
    <t>Most vulnerable system</t>
  </si>
  <si>
    <t>Cause type</t>
  </si>
  <si>
    <t>Conclusion</t>
  </si>
  <si>
    <t>Recommended help</t>
  </si>
  <si>
    <t>Motor</t>
  </si>
  <si>
    <t>PT, physiotherapy</t>
  </si>
  <si>
    <t>Sensory</t>
  </si>
  <si>
    <t>Communicative</t>
  </si>
  <si>
    <t>Speech therapist</t>
  </si>
  <si>
    <t>Adaptive</t>
  </si>
  <si>
    <t>Occupational therapy</t>
  </si>
  <si>
    <t>Summary of causes</t>
  </si>
  <si>
    <t>Priority cause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</si>
</sst>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m/d/yyyy"/>
    <numFmt numFmtId="165" formatCode="0.0%"/>
    <numFmt numFmtId="166" formatCode="0.0"/>
  </numFmts>
  <fonts count="40" x14ac:knownFonts="1">
    <font>
      <sz val="11"/>
      <color theme="1"/>
      <name val="Calibri"/>
      <family val="2"/>
      <charset val="204"/>
    </font>
    <font>
      <b/>
      <sz val="22"/>
      <color rgb="FFFFFFFF"/>
      <name val="Calibri"/>
      <family val="2"/>
      <charset val="204"/>
    </font>
    <font>
      <sz val="10"/>
      <color theme="1"/>
      <name val="Calibri"/>
      <family val="2"/>
      <charset val="204"/>
    </font>
    <font>
      <b/>
      <sz val="11"/>
      <name val="Cambria"/>
      <family val="1"/>
      <charset val="204"/>
    </font>
    <font>
      <sz val="11"/>
      <color theme="0"/>
      <name val="Calibri"/>
      <family val="2"/>
      <charset val="204"/>
    </font>
    <font>
      <i/>
      <sz val="9"/>
      <color theme="2" tint="-0.89999084444715716"/>
      <name val="Cambria"/>
      <family val="1"/>
      <charset val="204"/>
    </font>
    <font>
      <b/>
      <sz val="10"/>
      <color theme="1"/>
      <name val="Calibri"/>
      <family val="2"/>
      <charset val="204"/>
    </font>
    <font>
      <b/>
      <sz val="11"/>
      <color rgb="FFFFFFFF"/>
      <name val="Cambria"/>
      <family val="1"/>
      <charset val="204"/>
    </font>
    <font>
      <sz val="9"/>
      <color rgb="FF444444"/>
      <name val="Cambria"/>
      <family val="1"/>
      <charset val="204"/>
    </font>
    <font>
      <sz val="11"/>
      <color theme="1"/>
      <name val="Arial"/>
      <family val="2"/>
      <charset val="204"/>
    </font>
    <font>
      <b/>
      <sz val="11"/>
      <color rgb="FFFFFFFF"/>
      <name val="Cambria"/>
      <family val="1"/>
      <charset val="204"/>
    </font>
    <font>
      <b/>
      <sz val="11"/>
      <color theme="1"/>
      <name val="Calibri"/>
      <family val="2"/>
      <charset val="204"/>
    </font>
    <font>
      <b/>
      <i/>
      <sz val="11"/>
      <color theme="1"/>
      <name val="Calibri"/>
      <family val="2"/>
      <charset val="204"/>
    </font>
    <font>
      <i/>
      <sz val="11"/>
      <color theme="1"/>
      <name val="Calibri"/>
      <family val="2"/>
      <charset val="204"/>
    </font>
    <font>
      <b/>
      <i/>
      <sz val="10"/>
      <color theme="1"/>
      <name val="Calibri"/>
      <family val="2"/>
      <charset val="204"/>
    </font>
    <font>
      <b/>
      <u/>
      <sz val="14"/>
      <name val="Calibri"/>
      <family val="2"/>
      <charset val="204"/>
    </font>
    <font>
      <sz val="11"/>
      <name val="Calibri"/>
      <family val="2"/>
      <charset val="204"/>
    </font>
    <font>
      <b/>
      <sz val="14"/>
      <color rgb="FFFFFFFF"/>
      <name val="Cambria"/>
      <family val="1"/>
      <charset val="204"/>
    </font>
    <font>
      <b/>
      <sz val="10"/>
      <color rgb="FFFFFFFF"/>
      <name val="Cambria"/>
      <family val="1"/>
      <charset val="204"/>
    </font>
    <font>
      <b/>
      <sz val="10"/>
      <color rgb="FF2E75B6"/>
      <name val="Cambria"/>
      <family val="1"/>
      <charset val="204"/>
    </font>
    <font>
      <sz val="10"/>
      <name val="Cambria"/>
      <family val="1"/>
      <charset val="204"/>
    </font>
    <font>
      <i/>
      <sz val="10"/>
      <color rgb="FF333333"/>
      <name val="Cambria"/>
      <family val="1"/>
      <charset val="204"/>
    </font>
    <font>
      <i/>
      <sz val="8"/>
      <color rgb="FF888888"/>
      <name val="Cambria"/>
      <family val="1"/>
      <charset val="204"/>
    </font>
    <font>
      <b/>
      <i/>
      <sz val="8.5"/>
      <color theme="1"/>
      <name val="Calibri"/>
      <family val="2"/>
      <charset val="204"/>
    </font>
    <font>
      <sz val="8.5"/>
      <color theme="1"/>
      <name val="Calibri"/>
      <family val="2"/>
      <charset val="204"/>
    </font>
    <font>
      <sz val="9"/>
      <color theme="1"/>
      <name val="Calibri"/>
      <family val="2"/>
      <charset val="204"/>
    </font>
    <font>
      <sz val="10"/>
      <color theme="1"/>
      <name val="Times New Roman"/>
      <family val="1"/>
      <charset val="204"/>
    </font>
    <font>
      <b/>
      <i/>
      <sz val="9"/>
      <color theme="1"/>
      <name val="Calibri"/>
      <family val="2"/>
      <charset val="204"/>
    </font>
    <font>
      <b/>
      <i/>
      <sz val="9"/>
      <color theme="1"/>
      <name val="Times New Roman"/>
      <family val="1"/>
      <charset val="204"/>
    </font>
    <font>
      <b/>
      <sz val="10"/>
      <name val="Cambria"/>
      <family val="1"/>
      <charset val="204"/>
    </font>
    <font>
      <i/>
      <sz val="10"/>
      <color rgb="FFB8CCE4"/>
      <name val="Calibri"/>
      <family val="2"/>
      <charset val="204"/>
    </font>
    <font>
      <b/>
      <sz val="14"/>
      <color rgb="FF1F4E79"/>
      <name val="Calibri"/>
      <family val="2"/>
      <charset val="204"/>
    </font>
    <font>
      <b/>
      <sz val="13"/>
      <color rgb="FFFFFFFF"/>
      <name val="Calibri"/>
      <family val="2"/>
      <charset val="204"/>
    </font>
    <font>
      <sz val="11"/>
      <color rgb="FF000000"/>
      <name val="Calibri"/>
      <family val="2"/>
      <charset val="204"/>
    </font>
    <font>
      <b/>
      <sz val="12"/>
      <color rgb="FF1F4E79"/>
      <name val="Calibri"/>
      <family val="2"/>
      <charset val="204"/>
    </font>
    <font>
      <sz val="10"/>
      <color rgb="FF444444"/>
      <name val="Calibri"/>
      <family val="2"/>
      <charset val="204"/>
    </font>
    <font>
      <i/>
      <sz val="9"/>
      <color rgb="FFB8CCE4"/>
      <name val="Calibri"/>
      <family val="2"/>
      <charset val="204"/>
    </font>
    <font>
      <sz val="8.5"/>
      <color rgb="FF000000"/>
      <name val="Calibri"/>
      <family val="2"/>
      <charset val="204"/>
    </font>
    <font>
      <b/>
      <sz val="11"/>
      <color rgb="FFFFFFFF"/>
      <name val="Calibri"/>
      <family val="2"/>
      <charset val="204"/>
    </font>
    <font>
      <b/>
      <sz val="11"/>
      <name val="Cambria"/>
      <family val="1"/>
      <charset val="204"/>
    </font>
  </fonts>
  <fills count="27">
    <fill>
      <patternFill patternType="none"/>
    </fill>
    <fill>
      <patternFill patternType="gray125"/>
    </fill>
    <fill>
      <patternFill patternType="solid">
        <fgColor rgb="FF1F4E79"/>
        <bgColor rgb="FF376092"/>
      </patternFill>
    </fill>
    <fill>
      <patternFill patternType="solid">
        <fgColor rgb="FFC55A11"/>
        <bgColor rgb="FFE46C0A"/>
      </patternFill>
    </fill>
    <fill>
      <patternFill patternType="solid">
        <fgColor rgb="FF2E75B6"/>
        <bgColor rgb="FF4472C4"/>
      </patternFill>
    </fill>
    <fill>
      <patternFill patternType="solid">
        <fgColor rgb="FFD5E3F5"/>
        <bgColor rgb="FFDDDDDD"/>
      </patternFill>
    </fill>
    <fill>
      <patternFill patternType="solid">
        <fgColor rgb="FFF2F2F2"/>
        <bgColor rgb="FFE8EFF7"/>
      </patternFill>
    </fill>
    <fill>
      <patternFill patternType="solid">
        <fgColor rgb="FFE2EFDA"/>
        <bgColor rgb="FFE8EFF7"/>
      </patternFill>
    </fill>
    <fill>
      <patternFill patternType="solid">
        <fgColor theme="6"/>
        <bgColor rgb="FF92D050"/>
      </patternFill>
    </fill>
    <fill>
      <patternFill patternType="solid">
        <fgColor rgb="FF92D050"/>
        <bgColor rgb="FF9BBB59"/>
      </patternFill>
    </fill>
    <fill>
      <patternFill patternType="solid">
        <fgColor rgb="FFFFFF00"/>
        <bgColor rgb="FFFFFF00"/>
      </patternFill>
    </fill>
    <fill>
      <patternFill patternType="solid">
        <fgColor theme="9" tint="-0.249977111117893"/>
        <bgColor rgb="FFC55A11"/>
      </patternFill>
    </fill>
    <fill>
      <patternFill patternType="solid">
        <fgColor rgb="FFFF0000"/>
        <bgColor rgb="FF800000"/>
      </patternFill>
    </fill>
    <fill>
      <patternFill patternType="solid">
        <fgColor theme="9" tint="0.39957884456923126"/>
        <bgColor rgb="FFC3D69B"/>
      </patternFill>
    </fill>
    <fill>
      <patternFill patternType="solid">
        <fgColor theme="6" tint="0.39957884456923126"/>
        <bgColor rgb="FFD9D9D9"/>
      </patternFill>
    </fill>
    <fill>
      <patternFill patternType="solid">
        <fgColor theme="0"/>
        <bgColor rgb="FFF2F2F2"/>
      </patternFill>
    </fill>
    <fill>
      <patternFill patternType="solid">
        <fgColor rgb="FF0D7D1A"/>
        <bgColor rgb="FF008080"/>
      </patternFill>
    </fill>
    <fill>
      <patternFill patternType="solid">
        <fgColor rgb="FFE8EFF7"/>
        <bgColor rgb="FFF2F2F2"/>
      </patternFill>
    </fill>
    <fill>
      <patternFill patternType="solid">
        <fgColor rgb="FF376092"/>
        <bgColor rgb="FF2E75B6"/>
      </patternFill>
    </fill>
    <fill>
      <patternFill patternType="solid">
        <fgColor rgb="FFF5F7FA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2E75B6"/>
        <bgColor indexed="64"/>
      </patternFill>
    </fill>
  </fills>
  <borders count="21">
    <border>
      <left/>
      <right/>
      <top/>
      <bottom/>
      <diagonal/>
    </border>
    <border>
      <left style="thin">
        <color rgb="FFC0D0E8"/>
      </left>
      <right/>
      <top style="thin">
        <color rgb="FFC0D0E8"/>
      </top>
      <bottom style="thin">
        <color rgb="FFC0D0E8"/>
      </bottom>
      <diagonal/>
    </border>
    <border>
      <left/>
      <right style="thin">
        <color rgb="FFC0D0E8"/>
      </right>
      <top style="thin">
        <color rgb="FFC0D0E8"/>
      </top>
      <bottom/>
      <diagonal/>
    </border>
    <border>
      <left/>
      <right style="thin">
        <color rgb="FFC0D0E8"/>
      </right>
      <top/>
      <bottom style="thin">
        <color rgb="FFC0D0E8"/>
      </bottom>
      <diagonal/>
    </border>
    <border>
      <left style="thin">
        <color rgb="FFC0D0E8"/>
      </left>
      <right/>
      <top/>
      <bottom/>
      <diagonal/>
    </border>
    <border>
      <left/>
      <right style="thin">
        <color rgb="FFC0D0E8"/>
      </right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  <border>
      <left/>
      <right/>
      <top style="thin">
        <color auto="1"/>
      </top>
      <bottom/>
      <diagonal/>
    </border>
    <border>
      <left/>
      <right/>
      <top/>
      <bottom style="thin">
        <color rgb="FFD0D8E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medium">
        <color rgb="FFC5D3E8"/>
      </left>
      <right style="medium">
        <color rgb="FFC5D3E8"/>
      </right>
      <top style="medium">
        <color rgb="FFC5D3E8"/>
      </top>
      <bottom style="medium">
        <color rgb="FFC5D3E8"/>
      </bottom>
      <diagonal/>
    </border>
    <border>
      <left style="medium">
        <color rgb="FFC5D3E8"/>
      </left>
      <right style="medium">
        <color rgb="FFC5D3E8"/>
      </right>
      <top/>
      <bottom style="medium">
        <color rgb="FFC5D3E8"/>
      </bottom>
      <diagonal/>
    </border>
    <border>
      <left style="medium">
        <color rgb="FF2E75B6"/>
      </left>
      <right style="medium">
        <color rgb="FF2E75B6"/>
      </right>
      <top style="medium">
        <color rgb="FF2E75B6"/>
      </top>
      <bottom style="medium">
        <color rgb="FF2E75B6"/>
      </bottom>
      <diagonal/>
    </border>
    <border>
      <left/>
      <right style="medium">
        <color rgb="FF2E75B6"/>
      </right>
      <top style="medium">
        <color rgb="FF2E75B6"/>
      </top>
      <bottom style="medium">
        <color rgb="FF2E75B6"/>
      </bottom>
      <diagonal/>
    </border>
    <border>
      <left style="thin">
        <color rgb="FFC0D0E8"/>
      </left>
      <right/>
      <top/>
      <bottom style="thin">
        <color rgb="FFC0D0E8"/>
      </bottom>
      <diagonal/>
    </border>
    <border>
      <left/>
      <right/>
      <top style="thin">
        <color rgb="FFC0D0E8"/>
      </top>
      <bottom/>
      <diagonal/>
    </border>
    <border>
      <left/>
      <right/>
      <top/>
      <bottom style="thin">
        <color rgb="FFC0D0E8"/>
      </bottom>
      <diagonal/>
    </border>
  </borders>
  <cellStyleXfs count="1">
    <xf numFmtId="0" fontId="0" fillId="0" borderId="0"/>
  </cellStyleXfs>
  <cellXfs count="209">
    <xf numFmtId="0" fontId="0" fillId="0" borderId="0" xfId="0"/>
    <xf numFmtId="0" fontId="0" fillId="0" borderId="0" xfId="0"/>
    <xf numFmtId="0" fontId="0" fillId="2" borderId="0" xfId="0" applyFill="1"/>
    <xf numFmtId="0" fontId="0" fillId="3" borderId="0" xfId="0" applyFill="1"/>
    <xf numFmtId="0" fontId="0" fillId="0" borderId="4" xfId="0" applyBorder="1"/>
    <xf numFmtId="0" fontId="0" fillId="0" borderId="5" xfId="0" applyBorder="1"/>
    <xf numFmtId="1" fontId="0" fillId="0" borderId="0" xfId="0" applyNumberFormat="1"/>
    <xf numFmtId="0" fontId="2" fillId="0" borderId="0" xfId="0" applyFont="1" applyAlignment="1">
      <alignment wrapText="1"/>
    </xf>
    <xf numFmtId="0" fontId="3" fillId="0" borderId="0" xfId="0" applyFont="1"/>
    <xf numFmtId="0" fontId="4" fillId="8" borderId="0" xfId="0" applyFont="1" applyFill="1" applyAlignment="1">
      <alignment wrapText="1"/>
    </xf>
    <xf numFmtId="0" fontId="5" fillId="0" borderId="0" xfId="0" applyFont="1"/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0" fontId="7" fillId="4" borderId="0" xfId="0" applyFont="1" applyFill="1" applyAlignment="1">
      <alignment horizontal="center" vertical="center"/>
    </xf>
    <xf numFmtId="49" fontId="2" fillId="0" borderId="0" xfId="0" applyNumberFormat="1" applyFont="1" applyAlignment="1">
      <alignment horizontal="center"/>
    </xf>
    <xf numFmtId="0" fontId="2" fillId="0" borderId="0" xfId="0" applyFont="1" applyAlignment="1" applyProtection="1">
      <alignment horizontal="center"/>
      <protection locked="0"/>
    </xf>
    <xf numFmtId="0" fontId="8" fillId="0" borderId="6" xfId="0" applyFont="1" applyBorder="1"/>
    <xf numFmtId="0" fontId="2" fillId="0" borderId="0" xfId="0" applyFont="1" applyAlignment="1" applyProtection="1">
      <alignment horizontal="center"/>
      <protection hidden="1"/>
    </xf>
    <xf numFmtId="49" fontId="2" fillId="0" borderId="0" xfId="0" applyNumberFormat="1" applyFont="1" applyAlignment="1" applyProtection="1">
      <alignment horizontal="center"/>
      <protection hidden="1"/>
    </xf>
    <xf numFmtId="0" fontId="9" fillId="0" borderId="0" xfId="0" applyFont="1" applyProtection="1">
      <protection locked="0"/>
    </xf>
    <xf numFmtId="0" fontId="9" fillId="0" borderId="0" xfId="0" applyFont="1"/>
    <xf numFmtId="0" fontId="12" fillId="9" borderId="0" xfId="0" applyFont="1" applyFill="1" applyAlignment="1">
      <alignment horizontal="left"/>
    </xf>
    <xf numFmtId="0" fontId="12" fillId="9" borderId="0" xfId="0" applyFont="1" applyFill="1"/>
    <xf numFmtId="0" fontId="11" fillId="9" borderId="0" xfId="0" applyFont="1" applyFill="1"/>
    <xf numFmtId="0" fontId="0" fillId="0" borderId="0" xfId="0" applyAlignment="1">
      <alignment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 wrapText="1"/>
    </xf>
    <xf numFmtId="0" fontId="6" fillId="0" borderId="0" xfId="0" applyFont="1" applyAlignment="1">
      <alignment vertical="center" wrapText="1"/>
    </xf>
    <xf numFmtId="0" fontId="13" fillId="0" borderId="0" xfId="0" applyFont="1"/>
    <xf numFmtId="0" fontId="14" fillId="14" borderId="0" xfId="0" applyFont="1" applyFill="1" applyAlignment="1">
      <alignment vertical="center" wrapText="1"/>
    </xf>
    <xf numFmtId="0" fontId="14" fillId="14" borderId="7" xfId="0" applyFont="1" applyFill="1" applyBorder="1" applyAlignment="1">
      <alignment vertical="center" wrapText="1"/>
    </xf>
    <xf numFmtId="10" fontId="0" fillId="0" borderId="0" xfId="0" applyNumberFormat="1"/>
    <xf numFmtId="0" fontId="11" fillId="0" borderId="0" xfId="0" applyFont="1"/>
    <xf numFmtId="0" fontId="15" fillId="9" borderId="0" xfId="0" applyFont="1" applyFill="1"/>
    <xf numFmtId="0" fontId="16" fillId="9" borderId="0" xfId="0" applyFont="1" applyFill="1"/>
    <xf numFmtId="0" fontId="12" fillId="0" borderId="0" xfId="0" applyFont="1"/>
    <xf numFmtId="0" fontId="0" fillId="9" borderId="0" xfId="0" applyFill="1" applyAlignment="1">
      <alignment vertical="center" wrapText="1"/>
    </xf>
    <xf numFmtId="0" fontId="0" fillId="16" borderId="0" xfId="0" applyFill="1"/>
    <xf numFmtId="0" fontId="0" fillId="9" borderId="0" xfId="0" applyFill="1" applyAlignment="1">
      <alignment wrapText="1"/>
    </xf>
    <xf numFmtId="0" fontId="0" fillId="14" borderId="0" xfId="0" applyFill="1"/>
    <xf numFmtId="0" fontId="2" fillId="0" borderId="0" xfId="0" applyFont="1" applyAlignment="1">
      <alignment vertical="center" wrapText="1"/>
    </xf>
    <xf numFmtId="0" fontId="0" fillId="14" borderId="0" xfId="0" applyFill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10" fontId="2" fillId="0" borderId="0" xfId="0" applyNumberFormat="1" applyFont="1" applyAlignment="1">
      <alignment horizontal="center" wrapText="1"/>
    </xf>
    <xf numFmtId="10" fontId="0" fillId="0" borderId="0" xfId="0" applyNumberFormat="1" applyAlignment="1">
      <alignment horizontal="center" vertical="center"/>
    </xf>
    <xf numFmtId="164" fontId="2" fillId="9" borderId="0" xfId="0" applyNumberFormat="1" applyFont="1" applyFill="1" applyAlignment="1">
      <alignment vertical="center" wrapText="1"/>
    </xf>
    <xf numFmtId="10" fontId="0" fillId="0" borderId="0" xfId="0" applyNumberFormat="1" applyAlignment="1">
      <alignment vertical="center"/>
    </xf>
    <xf numFmtId="164" fontId="0" fillId="0" borderId="0" xfId="0" applyNumberFormat="1"/>
    <xf numFmtId="0" fontId="18" fillId="4" borderId="0" xfId="0" applyFont="1" applyFill="1" applyAlignment="1">
      <alignment horizontal="left" vertical="center" indent="1"/>
    </xf>
    <xf numFmtId="0" fontId="19" fillId="0" borderId="8" xfId="0" applyFont="1" applyBorder="1" applyAlignment="1">
      <alignment vertical="center" indent="1"/>
    </xf>
    <xf numFmtId="0" fontId="0" fillId="0" borderId="8" xfId="0" applyBorder="1"/>
    <xf numFmtId="0" fontId="0" fillId="17" borderId="8" xfId="0" applyFill="1" applyBorder="1"/>
    <xf numFmtId="0" fontId="18" fillId="4" borderId="8" xfId="0" applyFont="1" applyFill="1" applyBorder="1" applyAlignment="1">
      <alignment horizontal="left" vertical="center" indent="1"/>
    </xf>
    <xf numFmtId="0" fontId="18" fillId="18" borderId="8" xfId="0" applyFont="1" applyFill="1" applyBorder="1" applyAlignment="1">
      <alignment horizontal="left" vertical="center" indent="1"/>
    </xf>
    <xf numFmtId="0" fontId="18" fillId="2" borderId="8" xfId="0" applyFont="1" applyFill="1" applyBorder="1" applyAlignment="1">
      <alignment horizontal="left" vertical="center" inden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2" fontId="0" fillId="0" borderId="0" xfId="0" applyNumberFormat="1" applyAlignment="1">
      <alignment horizontal="center"/>
    </xf>
    <xf numFmtId="166" fontId="23" fillId="0" borderId="9" xfId="0" applyNumberFormat="1" applyFont="1" applyBorder="1" applyAlignment="1">
      <alignment horizontal="center" vertical="center" wrapText="1"/>
    </xf>
    <xf numFmtId="165" fontId="24" fillId="0" borderId="9" xfId="0" applyNumberFormat="1" applyFont="1" applyBorder="1" applyAlignment="1">
      <alignment horizontal="left" vertical="center" wrapText="1"/>
    </xf>
    <xf numFmtId="165" fontId="24" fillId="0" borderId="9" xfId="0" applyNumberFormat="1" applyFont="1" applyBorder="1" applyAlignment="1">
      <alignment vertical="center" wrapText="1"/>
    </xf>
    <xf numFmtId="165" fontId="24" fillId="0" borderId="0" xfId="0" applyNumberFormat="1" applyFont="1" applyAlignment="1">
      <alignment horizontal="left" vertical="center" wrapText="1"/>
    </xf>
    <xf numFmtId="165" fontId="24" fillId="0" borderId="10" xfId="0" applyNumberFormat="1" applyFont="1" applyBorder="1" applyAlignment="1">
      <alignment horizontal="left" vertical="center" wrapText="1"/>
    </xf>
    <xf numFmtId="165" fontId="24" fillId="0" borderId="12" xfId="0" applyNumberFormat="1" applyFont="1" applyBorder="1" applyAlignment="1">
      <alignment horizontal="left" vertical="center" wrapText="1"/>
    </xf>
    <xf numFmtId="0" fontId="0" fillId="0" borderId="13" xfId="0" applyBorder="1"/>
    <xf numFmtId="165" fontId="24" fillId="0" borderId="9" xfId="0" applyNumberFormat="1" applyFont="1" applyBorder="1" applyAlignment="1">
      <alignment horizontal="left" vertical="center"/>
    </xf>
    <xf numFmtId="165" fontId="24" fillId="0" borderId="0" xfId="0" applyNumberFormat="1" applyFont="1" applyAlignment="1">
      <alignment horizontal="left" vertical="center"/>
    </xf>
    <xf numFmtId="165" fontId="24" fillId="0" borderId="0" xfId="0" applyNumberFormat="1" applyFont="1" applyAlignment="1">
      <alignment horizontal="center" vertical="center" wrapText="1"/>
    </xf>
    <xf numFmtId="0" fontId="25" fillId="0" borderId="0" xfId="0" applyFont="1" applyAlignment="1">
      <alignment horizontal="center"/>
    </xf>
    <xf numFmtId="0" fontId="25" fillId="0" borderId="0" xfId="0" applyFont="1"/>
    <xf numFmtId="164" fontId="24" fillId="0" borderId="9" xfId="0" applyNumberFormat="1" applyFont="1" applyBorder="1" applyAlignment="1">
      <alignment horizontal="left" vertical="center" wrapText="1"/>
    </xf>
    <xf numFmtId="2" fontId="0" fillId="0" borderId="0" xfId="0" applyNumberFormat="1"/>
    <xf numFmtId="0" fontId="2" fillId="0" borderId="0" xfId="0" applyFont="1" applyAlignment="1">
      <alignment vertical="center"/>
    </xf>
    <xf numFmtId="0" fontId="26" fillId="0" borderId="0" xfId="0" applyFont="1" applyAlignment="1">
      <alignment horizontal="justify" vertical="center"/>
    </xf>
    <xf numFmtId="0" fontId="27" fillId="0" borderId="0" xfId="0" applyFont="1" applyAlignment="1">
      <alignment horizontal="center" vertical="center" wrapText="1"/>
    </xf>
    <xf numFmtId="0" fontId="28" fillId="0" borderId="0" xfId="0" applyFont="1" applyAlignment="1">
      <alignment horizontal="center" vertical="center" wrapText="1"/>
    </xf>
    <xf numFmtId="0" fontId="25" fillId="0" borderId="0" xfId="0" applyFont="1" applyAlignment="1">
      <alignment horizontal="center" vertical="center" wrapText="1"/>
    </xf>
    <xf numFmtId="0" fontId="25" fillId="0" borderId="0" xfId="0" applyFont="1" applyAlignment="1">
      <alignment horizontal="left" vertical="center" wrapText="1"/>
    </xf>
    <xf numFmtId="0" fontId="7" fillId="4" borderId="0" xfId="0" applyFont="1" applyFill="1" applyAlignment="1">
      <alignment wrapText="1"/>
    </xf>
    <xf numFmtId="0" fontId="25" fillId="19" borderId="14" xfId="0" applyFont="1" applyFill="1" applyBorder="1" applyAlignment="1">
      <alignment vertical="center" wrapText="1"/>
    </xf>
    <xf numFmtId="0" fontId="10" fillId="4" borderId="0" xfId="0" applyFont="1" applyFill="1" applyAlignment="1">
      <alignment wrapText="1"/>
    </xf>
    <xf numFmtId="165" fontId="24" fillId="21" borderId="9" xfId="0" applyNumberFormat="1" applyFont="1" applyFill="1" applyBorder="1" applyAlignment="1">
      <alignment horizontal="left" vertical="center" wrapText="1"/>
    </xf>
    <xf numFmtId="165" fontId="24" fillId="21" borderId="10" xfId="0" applyNumberFormat="1" applyFont="1" applyFill="1" applyBorder="1" applyAlignment="1">
      <alignment horizontal="left" vertical="center" wrapText="1"/>
    </xf>
    <xf numFmtId="165" fontId="24" fillId="22" borderId="9" xfId="0" applyNumberFormat="1" applyFont="1" applyFill="1" applyBorder="1" applyAlignment="1">
      <alignment horizontal="left" vertical="center" wrapText="1"/>
    </xf>
    <xf numFmtId="165" fontId="24" fillId="22" borderId="10" xfId="0" applyNumberFormat="1" applyFont="1" applyFill="1" applyBorder="1" applyAlignment="1">
      <alignment horizontal="left" vertical="center" wrapText="1"/>
    </xf>
    <xf numFmtId="165" fontId="24" fillId="23" borderId="9" xfId="0" applyNumberFormat="1" applyFont="1" applyFill="1" applyBorder="1" applyAlignment="1">
      <alignment horizontal="left" vertical="center" wrapText="1"/>
    </xf>
    <xf numFmtId="165" fontId="24" fillId="23" borderId="10" xfId="0" applyNumberFormat="1" applyFont="1" applyFill="1" applyBorder="1" applyAlignment="1">
      <alignment horizontal="left" vertical="center" wrapText="1"/>
    </xf>
    <xf numFmtId="165" fontId="24" fillId="20" borderId="9" xfId="0" applyNumberFormat="1" applyFont="1" applyFill="1" applyBorder="1" applyAlignment="1">
      <alignment horizontal="left" vertical="center" wrapText="1"/>
    </xf>
    <xf numFmtId="165" fontId="24" fillId="20" borderId="10" xfId="0" applyNumberFormat="1" applyFont="1" applyFill="1" applyBorder="1" applyAlignment="1">
      <alignment horizontal="left" vertical="center" wrapText="1"/>
    </xf>
    <xf numFmtId="0" fontId="37" fillId="24" borderId="14" xfId="0" applyFont="1" applyFill="1" applyBorder="1" applyAlignment="1">
      <alignment vertical="center" wrapText="1"/>
    </xf>
    <xf numFmtId="0" fontId="37" fillId="25" borderId="15" xfId="0" applyFont="1" applyFill="1" applyBorder="1" applyAlignment="1">
      <alignment vertical="center" wrapText="1"/>
    </xf>
    <xf numFmtId="0" fontId="37" fillId="24" borderId="15" xfId="0" applyFont="1" applyFill="1" applyBorder="1" applyAlignment="1">
      <alignment vertical="center" wrapText="1"/>
    </xf>
    <xf numFmtId="0" fontId="38" fillId="26" borderId="16" xfId="0" applyFont="1" applyFill="1" applyBorder="1" applyAlignment="1">
      <alignment vertical="center" wrapText="1"/>
    </xf>
    <xf numFmtId="0" fontId="38" fillId="26" borderId="17" xfId="0" applyFont="1" applyFill="1" applyBorder="1" applyAlignment="1">
      <alignment vertical="center" wrapText="1"/>
    </xf>
    <xf numFmtId="0" fontId="25" fillId="25" borderId="15" xfId="0" applyFont="1" applyFill="1" applyBorder="1" applyAlignment="1">
      <alignment vertical="center" wrapText="1"/>
    </xf>
    <xf numFmtId="0" fontId="25" fillId="19" borderId="15" xfId="0" applyFont="1" applyFill="1" applyBorder="1" applyAlignment="1">
      <alignment vertical="center" wrapText="1"/>
    </xf>
    <xf numFmtId="0" fontId="14" fillId="0" borderId="0" xfId="0" applyFont="1" applyAlignment="1">
      <alignment horizontal="center"/>
    </xf>
    <xf numFmtId="0" fontId="14" fillId="0" borderId="0" xfId="0" applyFont="1" applyAlignment="1">
      <alignment horizontal="left"/>
    </xf>
    <xf numFmtId="0" fontId="2" fillId="0" borderId="0" xfId="0" applyFont="1"/>
    <xf numFmtId="0" fontId="2" fillId="9" borderId="0" xfId="0" applyFont="1" applyFill="1"/>
    <xf numFmtId="0" fontId="2" fillId="0" borderId="0" xfId="0" applyFont="1" applyAlignment="1">
      <alignment horizontal="left" vertical="center"/>
    </xf>
    <xf numFmtId="0" fontId="2" fillId="10" borderId="0" xfId="0" applyFont="1" applyFill="1"/>
    <xf numFmtId="0" fontId="2" fillId="11" borderId="0" xfId="0" applyFont="1" applyFill="1"/>
    <xf numFmtId="0" fontId="2" fillId="12" borderId="0" xfId="0" applyFont="1" applyFill="1" applyAlignment="1">
      <alignment vertical="center"/>
    </xf>
    <xf numFmtId="0" fontId="2" fillId="12" borderId="0" xfId="0" applyFont="1" applyFill="1"/>
    <xf numFmtId="0" fontId="14" fillId="13" borderId="0" xfId="0" applyFont="1" applyFill="1" applyAlignment="1">
      <alignment horizontal="center" vertical="center"/>
    </xf>
    <xf numFmtId="0" fontId="14" fillId="15" borderId="0" xfId="0" applyFont="1" applyFill="1" applyAlignment="1">
      <alignment vertical="center" wrapText="1"/>
    </xf>
    <xf numFmtId="0" fontId="6" fillId="0" borderId="0" xfId="0" applyFont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left" vertical="center" wrapText="1"/>
    </xf>
    <xf numFmtId="0" fontId="2" fillId="0" borderId="0" xfId="0" applyFont="1" applyProtection="1">
      <protection locked="0"/>
    </xf>
    <xf numFmtId="0" fontId="0" fillId="0" borderId="0" xfId="0" applyAlignment="1">
      <alignment horizontal="center"/>
    </xf>
    <xf numFmtId="0" fontId="0" fillId="4" borderId="0" xfId="0" applyFill="1"/>
    <xf numFmtId="0" fontId="20" fillId="0" borderId="8" xfId="0" applyFont="1" applyBorder="1" applyAlignment="1">
      <alignment vertical="center" wrapText="1" indent="1"/>
    </xf>
    <xf numFmtId="165" fontId="24" fillId="0" borderId="9" xfId="0" applyNumberFormat="1" applyFont="1" applyBorder="1" applyAlignment="1">
      <alignment horizontal="center" vertical="center" wrapText="1"/>
    </xf>
    <xf numFmtId="14" fontId="0" fillId="0" borderId="0" xfId="0" applyNumberFormat="1" applyAlignment="1">
      <alignment horizontal="left"/>
    </xf>
    <xf numFmtId="0" fontId="0" fillId="0" borderId="0" xfId="0" applyAlignment="1" applyProtection="1">
      <alignment vertical="center" wrapText="1"/>
      <protection hidden="1"/>
    </xf>
    <xf numFmtId="0" fontId="0" fillId="0" borderId="0" xfId="0" applyProtection="1">
      <protection hidden="1"/>
    </xf>
    <xf numFmtId="0" fontId="9" fillId="0" borderId="0" xfId="0" applyFont="1" applyProtection="1">
      <protection hidden="1"/>
    </xf>
    <xf numFmtId="166" fontId="24" fillId="0" borderId="9" xfId="0" applyNumberFormat="1" applyFont="1" applyBorder="1" applyAlignment="1" applyProtection="1">
      <alignment horizontal="center" vertical="center" wrapText="1"/>
      <protection locked="0" hidden="1"/>
    </xf>
    <xf numFmtId="165" fontId="24" fillId="0" borderId="9" xfId="0" applyNumberFormat="1" applyFont="1" applyBorder="1" applyAlignment="1" applyProtection="1">
      <alignment horizontal="left" vertical="center" wrapText="1"/>
      <protection locked="0" hidden="1"/>
    </xf>
    <xf numFmtId="166" fontId="24" fillId="0" borderId="9" xfId="0" applyNumberFormat="1" applyFont="1" applyBorder="1" applyAlignment="1" applyProtection="1">
      <alignment horizontal="center" vertical="center" wrapText="1"/>
      <protection hidden="1"/>
    </xf>
    <xf numFmtId="2" fontId="24" fillId="0" borderId="9" xfId="0" applyNumberFormat="1" applyFont="1" applyBorder="1" applyAlignment="1" applyProtection="1">
      <alignment horizontal="center" vertical="center" wrapText="1"/>
      <protection hidden="1"/>
    </xf>
    <xf numFmtId="165" fontId="24" fillId="0" borderId="0" xfId="0" applyNumberFormat="1" applyFont="1" applyAlignment="1" applyProtection="1">
      <alignment horizontal="left" vertical="center" wrapText="1"/>
      <protection hidden="1"/>
    </xf>
    <xf numFmtId="165" fontId="24" fillId="0" borderId="9" xfId="0" applyNumberFormat="1" applyFont="1" applyBorder="1" applyAlignment="1" applyProtection="1">
      <alignment horizontal="center" vertical="center" wrapText="1"/>
      <protection hidden="1"/>
    </xf>
    <xf numFmtId="165" fontId="24" fillId="0" borderId="10" xfId="0" applyNumberFormat="1" applyFont="1" applyBorder="1" applyAlignment="1" applyProtection="1">
      <alignment horizontal="center" vertical="center" wrapText="1"/>
      <protection hidden="1"/>
    </xf>
    <xf numFmtId="2" fontId="24" fillId="0" borderId="11" xfId="0" applyNumberFormat="1" applyFont="1" applyBorder="1" applyAlignment="1" applyProtection="1">
      <alignment horizontal="center" vertical="center" wrapText="1"/>
      <protection hidden="1"/>
    </xf>
    <xf numFmtId="165" fontId="24" fillId="0" borderId="11" xfId="0" applyNumberFormat="1" applyFont="1" applyBorder="1" applyAlignment="1" applyProtection="1">
      <alignment horizontal="center" vertical="center" wrapText="1"/>
      <protection hidden="1"/>
    </xf>
    <xf numFmtId="165" fontId="24" fillId="0" borderId="9" xfId="0" applyNumberFormat="1" applyFont="1" applyBorder="1" applyAlignment="1" applyProtection="1">
      <alignment wrapText="1"/>
      <protection hidden="1"/>
    </xf>
    <xf numFmtId="165" fontId="24" fillId="0" borderId="9" xfId="0" applyNumberFormat="1" applyFont="1" applyBorder="1" applyAlignment="1" applyProtection="1">
      <alignment horizontal="left" vertical="center" wrapText="1"/>
      <protection hidden="1"/>
    </xf>
    <xf numFmtId="165" fontId="24" fillId="0" borderId="9" xfId="0" applyNumberFormat="1" applyFont="1" applyBorder="1" applyAlignment="1" applyProtection="1">
      <alignment vertical="center" wrapText="1"/>
      <protection hidden="1"/>
    </xf>
    <xf numFmtId="165" fontId="23" fillId="0" borderId="9" xfId="0" applyNumberFormat="1" applyFont="1" applyBorder="1" applyAlignment="1" applyProtection="1">
      <alignment vertical="center" wrapText="1"/>
      <protection hidden="1"/>
    </xf>
    <xf numFmtId="10" fontId="24" fillId="0" borderId="9" xfId="0" applyNumberFormat="1" applyFont="1" applyBorder="1" applyAlignment="1" applyProtection="1">
      <alignment vertical="center" wrapText="1"/>
      <protection hidden="1"/>
    </xf>
    <xf numFmtId="165" fontId="25" fillId="0" borderId="9" xfId="0" applyNumberFormat="1" applyFont="1" applyBorder="1" applyAlignment="1" applyProtection="1">
      <alignment horizontal="left" vertical="center" wrapText="1"/>
      <protection hidden="1"/>
    </xf>
    <xf numFmtId="166" fontId="23" fillId="0" borderId="9" xfId="0" applyNumberFormat="1" applyFont="1" applyBorder="1" applyAlignment="1" applyProtection="1">
      <alignment horizontal="center" vertical="center" wrapText="1"/>
      <protection hidden="1"/>
    </xf>
    <xf numFmtId="0" fontId="24" fillId="0" borderId="9" xfId="0" applyFont="1" applyBorder="1" applyAlignment="1" applyProtection="1">
      <alignment vertical="center" wrapText="1"/>
      <protection hidden="1"/>
    </xf>
    <xf numFmtId="0" fontId="23" fillId="0" borderId="9" xfId="0" applyFont="1" applyBorder="1" applyAlignment="1" applyProtection="1">
      <alignment vertical="center" wrapText="1"/>
      <protection hidden="1"/>
    </xf>
    <xf numFmtId="166" fontId="24" fillId="0" borderId="9" xfId="0" applyNumberFormat="1" applyFont="1" applyBorder="1" applyAlignment="1" applyProtection="1">
      <alignment horizontal="left" vertical="center" wrapText="1"/>
      <protection hidden="1"/>
    </xf>
    <xf numFmtId="165" fontId="24" fillId="0" borderId="0" xfId="0" applyNumberFormat="1" applyFont="1" applyAlignment="1" applyProtection="1">
      <alignment horizontal="left" vertical="center"/>
      <protection hidden="1"/>
    </xf>
    <xf numFmtId="166" fontId="24" fillId="0" borderId="0" xfId="0" applyNumberFormat="1" applyFont="1" applyAlignment="1" applyProtection="1">
      <alignment horizontal="left" vertical="center"/>
      <protection hidden="1"/>
    </xf>
    <xf numFmtId="0" fontId="2" fillId="0" borderId="0" xfId="0" applyFont="1" applyAlignment="1" applyProtection="1">
      <alignment horizontal="center" vertical="center"/>
      <protection hidden="1"/>
    </xf>
    <xf numFmtId="1" fontId="2" fillId="0" borderId="0" xfId="0" applyNumberFormat="1" applyFont="1" applyAlignment="1" applyProtection="1">
      <alignment horizontal="center" vertical="center"/>
      <protection hidden="1"/>
    </xf>
    <xf numFmtId="164" fontId="2" fillId="0" borderId="0" xfId="0" applyNumberFormat="1" applyFont="1" applyAlignment="1" applyProtection="1">
      <alignment horizontal="center" vertical="center"/>
      <protection hidden="1"/>
    </xf>
    <xf numFmtId="0" fontId="2" fillId="0" borderId="0" xfId="0" applyFont="1" applyAlignment="1" applyProtection="1">
      <alignment vertical="center"/>
      <protection hidden="1"/>
    </xf>
    <xf numFmtId="0" fontId="2" fillId="0" borderId="0" xfId="0" applyFont="1" applyAlignment="1" applyProtection="1">
      <alignment vertical="center" wrapText="1"/>
      <protection hidden="1"/>
    </xf>
    <xf numFmtId="0" fontId="6" fillId="0" borderId="0" xfId="0" applyFont="1" applyAlignment="1" applyProtection="1">
      <alignment vertical="center" wrapText="1"/>
      <protection hidden="1"/>
    </xf>
    <xf numFmtId="10" fontId="14" fillId="0" borderId="0" xfId="0" applyNumberFormat="1" applyFont="1" applyAlignment="1" applyProtection="1">
      <alignment horizontal="center" vertical="center" wrapText="1"/>
      <protection hidden="1"/>
    </xf>
    <xf numFmtId="0" fontId="6" fillId="0" borderId="0" xfId="0" applyFont="1" applyAlignment="1" applyProtection="1">
      <alignment horizontal="left" vertical="center" wrapText="1"/>
      <protection hidden="1"/>
    </xf>
    <xf numFmtId="0" fontId="2" fillId="0" borderId="0" xfId="0" applyFont="1" applyAlignment="1" applyProtection="1">
      <alignment wrapText="1"/>
      <protection hidden="1"/>
    </xf>
    <xf numFmtId="165" fontId="0" fillId="0" borderId="0" xfId="0" applyNumberFormat="1" applyAlignment="1" applyProtection="1">
      <alignment vertical="center"/>
      <protection hidden="1"/>
    </xf>
    <xf numFmtId="0" fontId="0" fillId="0" borderId="0" xfId="0" applyAlignment="1" applyProtection="1">
      <alignment vertical="center"/>
      <protection hidden="1"/>
    </xf>
    <xf numFmtId="0" fontId="20" fillId="0" borderId="8" xfId="0" applyFont="1" applyBorder="1" applyAlignment="1" applyProtection="1">
      <alignment vertical="center" wrapText="1" indent="1"/>
      <protection hidden="1"/>
    </xf>
    <xf numFmtId="0" fontId="20" fillId="0" borderId="8" xfId="0" applyFont="1" applyBorder="1" applyAlignment="1" applyProtection="1">
      <alignment horizontal="left" vertical="center" wrapText="1" indent="1"/>
      <protection hidden="1"/>
    </xf>
    <xf numFmtId="0" fontId="20" fillId="0" borderId="8" xfId="0" applyFont="1" applyBorder="1" applyAlignment="1" applyProtection="1">
      <alignment vertical="top" wrapText="1" indent="1"/>
      <protection hidden="1"/>
    </xf>
    <xf numFmtId="0" fontId="0" fillId="14" borderId="0" xfId="0" applyFill="1" applyProtection="1">
      <protection hidden="1"/>
    </xf>
    <xf numFmtId="0" fontId="6" fillId="14" borderId="0" xfId="0" applyFont="1" applyFill="1" applyAlignment="1" applyProtection="1">
      <alignment vertical="center"/>
      <protection hidden="1"/>
    </xf>
    <xf numFmtId="0" fontId="6" fillId="14" borderId="0" xfId="0" applyFont="1" applyFill="1" applyAlignment="1" applyProtection="1">
      <alignment vertical="center" wrapText="1"/>
      <protection hidden="1"/>
    </xf>
    <xf numFmtId="0" fontId="11" fillId="14" borderId="0" xfId="0" applyFont="1" applyFill="1" applyAlignment="1" applyProtection="1">
      <alignment vertical="center" wrapText="1"/>
      <protection hidden="1"/>
    </xf>
    <xf numFmtId="0" fontId="0" fillId="14" borderId="0" xfId="0" applyFill="1" applyAlignment="1" applyProtection="1">
      <alignment vertical="center" wrapText="1"/>
      <protection hidden="1"/>
    </xf>
    <xf numFmtId="0" fontId="3" fillId="14" borderId="0" xfId="0" applyFont="1" applyFill="1" applyAlignment="1" applyProtection="1">
      <alignment vertical="center" wrapText="1"/>
      <protection hidden="1"/>
    </xf>
    <xf numFmtId="0" fontId="3" fillId="0" borderId="0" xfId="0" applyFont="1" applyAlignment="1" applyProtection="1">
      <alignment vertical="center" wrapText="1"/>
      <protection hidden="1"/>
    </xf>
    <xf numFmtId="10" fontId="0" fillId="0" borderId="0" xfId="0" applyNumberFormat="1" applyProtection="1">
      <protection hidden="1"/>
    </xf>
    <xf numFmtId="165" fontId="0" fillId="0" borderId="0" xfId="0" applyNumberFormat="1" applyProtection="1">
      <protection hidden="1"/>
    </xf>
    <xf numFmtId="0" fontId="39" fillId="0" borderId="0" xfId="0" applyFont="1" applyProtection="1">
      <protection hidden="1"/>
    </xf>
    <xf numFmtId="0" fontId="10" fillId="4" borderId="0" xfId="0" applyFont="1" applyFill="1" applyAlignment="1" applyProtection="1">
      <alignment wrapText="1"/>
      <protection hidden="1"/>
    </xf>
    <xf numFmtId="0" fontId="2" fillId="0" borderId="0" xfId="0" applyFont="1" applyProtection="1">
      <protection hidden="1"/>
    </xf>
    <xf numFmtId="10" fontId="2" fillId="0" borderId="0" xfId="0" applyNumberFormat="1" applyFont="1" applyAlignment="1" applyProtection="1">
      <alignment horizontal="center"/>
      <protection hidden="1"/>
    </xf>
    <xf numFmtId="165" fontId="2" fillId="0" borderId="0" xfId="0" applyNumberFormat="1" applyFont="1" applyAlignment="1" applyProtection="1">
      <alignment horizontal="center"/>
      <protection hidden="1"/>
    </xf>
    <xf numFmtId="0" fontId="29" fillId="0" borderId="0" xfId="0" applyFont="1" applyProtection="1">
      <protection hidden="1"/>
    </xf>
    <xf numFmtId="0" fontId="35" fillId="7" borderId="0" xfId="0" applyFont="1" applyFill="1" applyAlignment="1">
      <alignment horizontal="left" vertical="top" wrapText="1"/>
    </xf>
    <xf numFmtId="0" fontId="0" fillId="0" borderId="0" xfId="0"/>
    <xf numFmtId="0" fontId="32" fillId="4" borderId="2" xfId="0" applyFont="1" applyFill="1" applyBorder="1" applyAlignment="1">
      <alignment horizontal="left" vertical="center"/>
    </xf>
    <xf numFmtId="0" fontId="0" fillId="0" borderId="19" xfId="0" applyBorder="1"/>
    <xf numFmtId="0" fontId="0" fillId="0" borderId="2" xfId="0" applyBorder="1"/>
    <xf numFmtId="0" fontId="31" fillId="0" borderId="0" xfId="0" applyFont="1" applyAlignment="1">
      <alignment horizontal="left" vertical="center"/>
    </xf>
    <xf numFmtId="0" fontId="33" fillId="5" borderId="3" xfId="0" applyFont="1" applyFill="1" applyBorder="1" applyAlignment="1">
      <alignment horizontal="left" vertical="top" wrapText="1"/>
    </xf>
    <xf numFmtId="0" fontId="0" fillId="0" borderId="20" xfId="0" applyBorder="1"/>
    <xf numFmtId="0" fontId="0" fillId="0" borderId="3" xfId="0" applyBorder="1"/>
    <xf numFmtId="0" fontId="36" fillId="2" borderId="0" xfId="0" applyFont="1" applyFill="1" applyAlignment="1">
      <alignment horizontal="left" vertical="center"/>
    </xf>
    <xf numFmtId="0" fontId="35" fillId="6" borderId="0" xfId="0" applyFont="1" applyFill="1" applyAlignment="1">
      <alignment horizontal="left" vertical="top" wrapText="1"/>
    </xf>
    <xf numFmtId="0" fontId="1" fillId="3" borderId="1" xfId="0" applyFont="1" applyFill="1" applyBorder="1" applyAlignment="1">
      <alignment horizontal="center" vertical="center"/>
    </xf>
    <xf numFmtId="0" fontId="0" fillId="0" borderId="18" xfId="0" applyBorder="1"/>
    <xf numFmtId="0" fontId="1" fillId="2" borderId="0" xfId="0" applyFont="1" applyFill="1" applyAlignment="1">
      <alignment horizontal="center" vertical="center" wrapText="1"/>
    </xf>
    <xf numFmtId="0" fontId="34" fillId="0" borderId="0" xfId="0" applyFont="1" applyAlignment="1">
      <alignment horizontal="left" vertical="center"/>
    </xf>
    <xf numFmtId="0" fontId="30" fillId="2" borderId="0" xfId="0" applyFont="1" applyFill="1" applyAlignment="1">
      <alignment horizontal="left" vertical="center"/>
    </xf>
    <xf numFmtId="0" fontId="2" fillId="0" borderId="0" xfId="0" applyFont="1" applyAlignment="1">
      <alignment horizontal="left" vertical="center" wrapText="1"/>
    </xf>
    <xf numFmtId="0" fontId="12" fillId="9" borderId="0" xfId="0" applyFont="1" applyFill="1" applyAlignment="1">
      <alignment horizontal="center"/>
    </xf>
    <xf numFmtId="0" fontId="2" fillId="9" borderId="0" xfId="0" applyFont="1" applyFill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0" fillId="0" borderId="0" xfId="0" applyProtection="1">
      <protection locked="0"/>
    </xf>
    <xf numFmtId="49" fontId="0" fillId="0" borderId="0" xfId="0" applyNumberFormat="1" applyProtection="1">
      <protection locked="0"/>
    </xf>
    <xf numFmtId="0" fontId="2" fillId="0" borderId="0" xfId="0" applyFont="1" applyAlignment="1">
      <alignment horizontal="center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vertical="top" wrapText="1"/>
    </xf>
    <xf numFmtId="0" fontId="22" fillId="0" borderId="0" xfId="0" applyFont="1" applyAlignment="1">
      <alignment horizontal="left" indent="1"/>
    </xf>
    <xf numFmtId="0" fontId="20" fillId="0" borderId="8" xfId="0" applyFont="1" applyBorder="1" applyAlignment="1" applyProtection="1">
      <alignment vertical="center" wrapText="1" indent="1"/>
      <protection hidden="1"/>
    </xf>
    <xf numFmtId="0" fontId="0" fillId="0" borderId="8" xfId="0" applyBorder="1" applyProtection="1">
      <protection hidden="1"/>
    </xf>
    <xf numFmtId="0" fontId="21" fillId="0" borderId="8" xfId="0" applyFont="1" applyBorder="1" applyAlignment="1">
      <alignment vertical="top" wrapText="1" indent="1"/>
    </xf>
    <xf numFmtId="0" fontId="0" fillId="0" borderId="8" xfId="0" applyBorder="1"/>
    <xf numFmtId="0" fontId="0" fillId="4" borderId="0" xfId="0" applyFill="1"/>
    <xf numFmtId="0" fontId="17" fillId="2" borderId="0" xfId="0" applyFont="1" applyFill="1" applyAlignment="1">
      <alignment horizontal="center" vertical="center"/>
    </xf>
    <xf numFmtId="165" fontId="20" fillId="0" borderId="8" xfId="0" applyNumberFormat="1" applyFont="1" applyBorder="1" applyAlignment="1" applyProtection="1">
      <alignment vertical="top" wrapText="1" indent="1"/>
      <protection hidden="1"/>
    </xf>
    <xf numFmtId="0" fontId="0" fillId="2" borderId="8" xfId="0" applyFill="1" applyBorder="1"/>
    <xf numFmtId="0" fontId="0" fillId="4" borderId="8" xfId="0" applyFill="1" applyBorder="1"/>
    <xf numFmtId="165" fontId="24" fillId="0" borderId="9" xfId="0" applyNumberFormat="1" applyFont="1" applyBorder="1" applyAlignment="1">
      <alignment horizontal="center" vertical="center" wrapText="1"/>
    </xf>
    <xf numFmtId="0" fontId="0" fillId="0" borderId="11" xfId="0" applyBorder="1"/>
    <xf numFmtId="0" fontId="0" fillId="0" borderId="0" xfId="0" applyAlignment="1" applyProtection="1">
      <alignment horizontal="left"/>
      <protection locked="0" hidden="1"/>
    </xf>
    <xf numFmtId="164" fontId="0" fillId="0" borderId="0" xfId="0" applyNumberFormat="1" applyAlignment="1" applyProtection="1">
      <alignment horizontal="left"/>
      <protection locked="0" hidden="1"/>
    </xf>
    <xf numFmtId="14" fontId="0" fillId="0" borderId="0" xfId="0" applyNumberFormat="1" applyAlignment="1" applyProtection="1">
      <alignment horizontal="left"/>
      <protection locked="0" hidden="1"/>
    </xf>
    <xf numFmtId="1" fontId="0" fillId="0" borderId="0" xfId="0" applyNumberFormat="1" applyAlignment="1" applyProtection="1">
      <alignment horizontal="left"/>
      <protection hidden="1"/>
    </xf>
  </cellXfs>
  <cellStyles count="1">
    <cellStyle name="Обычный" xfId="0" builtinId="0"/>
  </cellStyles>
  <dxfs count="13">
    <dxf>
      <fill>
        <patternFill>
          <bgColor rgb="FFFF0000"/>
        </patternFill>
      </fill>
    </dxf>
    <dxf>
      <fill>
        <patternFill>
          <bgColor theme="9" tint="-0.249977111117893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9" tint="-0.249977111117893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theme="9" tint="-0.249977111117893"/>
        </patternFill>
      </fill>
    </dxf>
    <dxf>
      <fill>
        <patternFill>
          <bgColor rgb="FFFFFF00"/>
        </patternFill>
      </fill>
    </dxf>
    <dxf>
      <fill>
        <patternFill>
          <bgColor rgb="FF00B050"/>
        </patternFill>
      </fill>
    </dxf>
    <dxf>
      <fill>
        <patternFill>
          <bgColor rgb="FF92D050"/>
        </patternFill>
      </fill>
    </dxf>
  </dxfs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D7D1A"/>
      <rgbColor rgb="FF000080"/>
      <rgbColor rgb="FF9BBB59"/>
      <rgbColor rgb="FF800080"/>
      <rgbColor rgb="FF4A7EBB"/>
      <rgbColor rgb="FFB3B3B3"/>
      <rgbColor rgb="FF878787"/>
      <rgbColor rgb="FFA6A6A6"/>
      <rgbColor rgb="FF993366"/>
      <rgbColor rgb="FFF2F2F2"/>
      <rgbColor rgb="FFE8EFF7"/>
      <rgbColor rgb="FF660066"/>
      <rgbColor rgb="FFFF8080"/>
      <rgbColor rgb="FF2E75B6"/>
      <rgbColor rgb="FFC0D0E8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B0F0"/>
      <rgbColor rgb="FFD5E3F5"/>
      <rgbColor rgb="FFE2EFDA"/>
      <rgbColor rgb="FFDDDDDD"/>
      <rgbColor rgb="FFB8CCE4"/>
      <rgbColor rgb="FFD9D9D9"/>
      <rgbColor rgb="FFD0D8E4"/>
      <rgbColor rgb="FFFAC090"/>
      <rgbColor rgb="FF4472C4"/>
      <rgbColor rgb="FF33CCCC"/>
      <rgbColor rgb="FF92D050"/>
      <rgbColor rgb="FFC3D69B"/>
      <rgbColor rgb="FFFF9900"/>
      <rgbColor rgb="FFE46C0A"/>
      <rgbColor rgb="FF376092"/>
      <rgbColor rgb="FF888888"/>
      <rgbColor rgb="FF1F4E79"/>
      <rgbColor rgb="FF00B050"/>
      <rgbColor rgb="FF444444"/>
      <rgbColor rgb="FF1E1C11"/>
      <rgbColor rgb="FFC55A11"/>
      <rgbColor rgb="FF993366"/>
      <rgbColor rgb="FF403152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 rot="0"/>
          <a:lstStyle/>
          <a:p>
            <a:pPr>
              <a:defRPr lang="ru-RU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Development Profile</a:t>
            </a:r>
            <a:endParaRPr lang="ru-RU" sz="1800" b="1" strike="noStrike" spc="-1">
              <a:solidFill>
                <a:srgbClr val="000000"/>
              </a:solidFill>
              <a:latin typeface="Calibri"/>
            </a:endParaRP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440">
              <a:solidFill>
                <a:srgbClr val="4A7EBB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PROFILE!$A$2:$A$8</c:f>
              <c:strCache>
                <c:ptCount val="7"/>
                <c:pt idx="0">
                  <c:v>Gross Motor</c:v>
                </c:pt>
                <c:pt idx="1">
                  <c:v>Fine Motor</c:v>
                </c:pt>
                <c:pt idx="2">
                  <c:v>Speech</c:v>
                </c:pt>
                <c:pt idx="3">
                  <c:v>Cognitive</c:v>
                </c:pt>
                <c:pt idx="4">
                  <c:v>Emotional</c:v>
                </c:pt>
                <c:pt idx="5">
                  <c:v>Social</c:v>
                </c:pt>
                <c:pt idx="6">
                  <c:v>Self-Care</c:v>
                </c:pt>
              </c:strCache>
            </c:strRef>
          </c:cat>
          <c:val>
            <c:numRef>
              <c:f>PROFILE!$B$2:$B$8</c:f>
              <c:numCache>
                <c:formatCode>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D15-4938-A508-69103AFB64C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86231"/>
        <c:axId val="70985425"/>
      </c:radarChart>
      <c:catAx>
        <c:axId val="7686231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prstDash val="solid"/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noFill/>
            <a:prstDash val="solid"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70985425"/>
        <c:crosses val="autoZero"/>
        <c:auto val="1"/>
        <c:lblAlgn val="ctr"/>
        <c:lblOffset val="100"/>
        <c:noMultiLvlLbl val="0"/>
      </c:catAx>
      <c:valAx>
        <c:axId val="70985425"/>
        <c:scaling>
          <c:orientation val="minMax"/>
          <c:max val="84"/>
          <c:min val="0"/>
        </c:scaling>
        <c:delete val="0"/>
        <c:axPos val="l"/>
        <c:majorGridlines>
          <c:spPr>
            <a:ln w="9360">
              <a:solidFill>
                <a:srgbClr val="878787"/>
              </a:solidFill>
              <a:prstDash val="solid"/>
              <a:round/>
            </a:ln>
          </c:spPr>
        </c:majorGridlines>
        <c:numFmt formatCode="0.0" sourceLinked="0"/>
        <c:majorTickMark val="cross"/>
        <c:minorTickMark val="none"/>
        <c:tickLblPos val="nextTo"/>
        <c:spPr>
          <a:ln w="9360">
            <a:solidFill>
              <a:srgbClr val="878787"/>
            </a:solidFill>
            <a:prstDash val="solid"/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7686231"/>
        <c:crosses val="autoZero"/>
        <c:crossBetween val="midCat"/>
        <c:majorUnit val="12"/>
      </c:valAx>
    </c:plotArea>
    <c:legend>
      <c:legendPos val="r"/>
      <c:overlay val="0"/>
      <c:spPr>
        <a:noFill/>
        <a:ln w="0">
          <a:noFill/>
          <a:prstDash val="solid"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 rot="0"/>
          <a:lstStyle/>
          <a:p>
            <a:pPr>
              <a:defRPr lang="ru-RU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Child development Chart</a:t>
            </a:r>
            <a:endParaRPr lang="ru-RU" sz="1800" b="1" strike="noStrike" spc="-1">
              <a:solidFill>
                <a:srgbClr val="000000"/>
              </a:solidFill>
              <a:latin typeface="Calibri"/>
            </a:endParaRP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PROFILE!$F$1</c:f>
              <c:strCache>
                <c:ptCount val="1"/>
                <c:pt idx="0">
                  <c:v>% of age</c:v>
                </c:pt>
              </c:strCache>
            </c:strRef>
          </c:tx>
          <c:spPr>
            <a:solidFill>
              <a:srgbClr val="4472C4"/>
            </a:solidFill>
            <a:ln w="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PROFILE!$A$2:$A$8</c:f>
              <c:strCache>
                <c:ptCount val="7"/>
                <c:pt idx="0">
                  <c:v>Gross Motor</c:v>
                </c:pt>
                <c:pt idx="1">
                  <c:v>Fine Motor</c:v>
                </c:pt>
                <c:pt idx="2">
                  <c:v>Speech</c:v>
                </c:pt>
                <c:pt idx="3">
                  <c:v>Cognitive</c:v>
                </c:pt>
                <c:pt idx="4">
                  <c:v>Emotional</c:v>
                </c:pt>
                <c:pt idx="5">
                  <c:v>Social</c:v>
                </c:pt>
                <c:pt idx="6">
                  <c:v>Self-Care</c:v>
                </c:pt>
              </c:strCache>
            </c:strRef>
          </c:cat>
          <c:val>
            <c:numRef>
              <c:f>PROFILE!$F$2:$F$8</c:f>
              <c:numCache>
                <c:formatCode>0.0%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43-4EAD-AC2F-23602A1C5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564397"/>
        <c:axId val="44279232"/>
      </c:barChart>
      <c:lineChart>
        <c:grouping val="standard"/>
        <c:varyColors val="0"/>
        <c:ser>
          <c:idx val="1"/>
          <c:order val="1"/>
          <c:tx>
            <c:strRef>
              <c:f>PROFILE!$N$1</c:f>
              <c:strCache>
                <c:ptCount val="1"/>
                <c:pt idx="0">
                  <c:v>Norm 90%</c:v>
                </c:pt>
              </c:strCache>
            </c:strRef>
          </c:tx>
          <c:spPr>
            <a:ln w="28080">
              <a:solidFill>
                <a:srgbClr val="FF0000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PROFILE!$A$2:$A$8</c:f>
              <c:strCache>
                <c:ptCount val="7"/>
                <c:pt idx="0">
                  <c:v>Gross Motor</c:v>
                </c:pt>
                <c:pt idx="1">
                  <c:v>Fine Motor</c:v>
                </c:pt>
                <c:pt idx="2">
                  <c:v>Speech</c:v>
                </c:pt>
                <c:pt idx="3">
                  <c:v>Cognitive</c:v>
                </c:pt>
                <c:pt idx="4">
                  <c:v>Emotional</c:v>
                </c:pt>
                <c:pt idx="5">
                  <c:v>Social</c:v>
                </c:pt>
                <c:pt idx="6">
                  <c:v>Self-Care</c:v>
                </c:pt>
              </c:strCache>
            </c:strRef>
          </c:cat>
          <c:val>
            <c:numRef>
              <c:f>PROFILE!$N$2:$N$8</c:f>
              <c:numCache>
                <c:formatCode>General</c:formatCode>
                <c:ptCount val="7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543-4EAD-AC2F-23602A1C54A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  <a:prstDash val="solid"/>
            </a:ln>
          </c:spPr>
        </c:hiLowLines>
        <c:marker val="1"/>
        <c:smooth val="0"/>
        <c:axId val="28564397"/>
        <c:axId val="44279232"/>
      </c:lineChart>
      <c:catAx>
        <c:axId val="2856439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44279232"/>
        <c:crosses val="autoZero"/>
        <c:auto val="1"/>
        <c:lblAlgn val="ctr"/>
        <c:lblOffset val="100"/>
        <c:noMultiLvlLbl val="0"/>
      </c:catAx>
      <c:valAx>
        <c:axId val="44279232"/>
        <c:scaling>
          <c:orientation val="minMax"/>
          <c:max val="1"/>
          <c:min val="0"/>
        </c:scaling>
        <c:delete val="0"/>
        <c:axPos val="l"/>
        <c:majorGridlines>
          <c:spPr>
            <a:ln w="0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 rot="-5400000"/>
              <a:lstStyle/>
              <a:p>
                <a:pPr>
                  <a:defRPr lang="ru-RU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ru-RU" sz="1000" b="1" strike="noStrike" spc="-1">
                    <a:solidFill>
                      <a:srgbClr val="000000"/>
                    </a:solidFill>
                    <a:latin typeface="Calibri"/>
                  </a:rPr>
                  <a:t>% </a:t>
                </a: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 of skill mastery</a:t>
                </a:r>
                <a:endParaRPr lang="ru-RU" sz="1000" b="1" strike="noStrike" spc="-1">
                  <a:solidFill>
                    <a:srgbClr val="000000"/>
                  </a:solidFill>
                  <a:latin typeface="Calibri"/>
                </a:endParaRPr>
              </a:p>
            </c:rich>
          </c:tx>
          <c:overlay val="0"/>
          <c:spPr>
            <a:noFill/>
            <a:ln w="0">
              <a:noFill/>
              <a:prstDash val="solid"/>
            </a:ln>
          </c:spPr>
        </c:title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28564397"/>
        <c:crosses val="autoZero"/>
        <c:crossBetween val="between"/>
      </c:valAx>
    </c:plotArea>
    <c:legend>
      <c:legendPos val="r"/>
      <c:overlay val="0"/>
      <c:spPr>
        <a:noFill/>
        <a:ln w="0">
          <a:noFill/>
          <a:prstDash val="solid"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b="1">
                <a:solidFill>
                  <a:sysClr val="windowText" lastClr="000000"/>
                </a:solidFill>
              </a:rPr>
              <a:t>Development</a:t>
            </a:r>
            <a:r>
              <a:rPr lang="en-US" b="1" baseline="0">
                <a:solidFill>
                  <a:sysClr val="windowText" lastClr="000000"/>
                </a:solidFill>
              </a:rPr>
              <a:t> Progress over Time</a:t>
            </a:r>
            <a:endParaRPr lang="ru-RU" b="1">
              <a:solidFill>
                <a:sysClr val="windowText" lastClr="000000"/>
              </a:solidFill>
            </a:endParaRPr>
          </a:p>
        </c:rich>
      </c:tx>
      <c:overlay val="0"/>
      <c:spPr>
        <a:noFill/>
        <a:ln>
          <a:noFill/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GUIDE!$B$12</c:f>
              <c:strCache>
                <c:ptCount val="1"/>
                <c:pt idx="0">
                  <c:v>Average Index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</c:spPr>
          <c:marker>
            <c:symbol val="none"/>
          </c:marker>
          <c:cat>
            <c:numRef>
              <c:f>GUIDE!$A$13:$A$15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GUIDE!$B$13:$B$15</c:f>
              <c:numCache>
                <c:formatCode>0.00%</c:formatCode>
                <c:ptCount val="3"/>
                <c:pt idx="0">
                  <c:v>0</c:v>
                </c:pt>
                <c:pt idx="1">
                  <c:v>0.42</c:v>
                </c:pt>
                <c:pt idx="2">
                  <c:v>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7234-460F-85F8-B09908A9E547}"/>
            </c:ext>
          </c:extLst>
        </c:ser>
        <c:ser>
          <c:idx val="1"/>
          <c:order val="1"/>
          <c:tx>
            <c:strRef>
              <c:f>GUIDE!$C$12</c:f>
              <c:strCache>
                <c:ptCount val="1"/>
                <c:pt idx="0">
                  <c:v>Gross Motor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</c:spPr>
          <c:marker>
            <c:symbol val="none"/>
          </c:marker>
          <c:cat>
            <c:numRef>
              <c:f>GUIDE!$A$13:$A$15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GUIDE!$C$13:$C$15</c:f>
              <c:numCache>
                <c:formatCode>0.00%</c:formatCode>
                <c:ptCount val="3"/>
                <c:pt idx="0">
                  <c:v>0</c:v>
                </c:pt>
                <c:pt idx="1">
                  <c:v>0.45</c:v>
                </c:pt>
                <c:pt idx="2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7234-460F-85F8-B09908A9E547}"/>
            </c:ext>
          </c:extLst>
        </c:ser>
        <c:ser>
          <c:idx val="2"/>
          <c:order val="2"/>
          <c:tx>
            <c:strRef>
              <c:f>GUIDE!$D$12</c:f>
              <c:strCache>
                <c:ptCount val="1"/>
                <c:pt idx="0">
                  <c:v>Fine Motor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olid"/>
              <a:round/>
            </a:ln>
          </c:spPr>
          <c:marker>
            <c:symbol val="none"/>
          </c:marker>
          <c:cat>
            <c:numRef>
              <c:f>GUIDE!$A$13:$A$15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GUIDE!$D$13:$D$15</c:f>
              <c:numCache>
                <c:formatCode>0.00%</c:formatCode>
                <c:ptCount val="3"/>
                <c:pt idx="0">
                  <c:v>0</c:v>
                </c:pt>
                <c:pt idx="1">
                  <c:v>0.46</c:v>
                </c:pt>
                <c:pt idx="2">
                  <c:v>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7234-460F-85F8-B09908A9E547}"/>
            </c:ext>
          </c:extLst>
        </c:ser>
        <c:ser>
          <c:idx val="3"/>
          <c:order val="3"/>
          <c:tx>
            <c:strRef>
              <c:f>GUIDE!$E$12</c:f>
              <c:strCache>
                <c:ptCount val="1"/>
                <c:pt idx="0">
                  <c:v>Speech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solid"/>
              <a:round/>
            </a:ln>
          </c:spPr>
          <c:marker>
            <c:symbol val="none"/>
          </c:marker>
          <c:cat>
            <c:numRef>
              <c:f>GUIDE!$A$13:$A$15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GUIDE!$E$13:$E$15</c:f>
              <c:numCache>
                <c:formatCode>0.00%</c:formatCode>
                <c:ptCount val="3"/>
                <c:pt idx="0">
                  <c:v>0</c:v>
                </c:pt>
                <c:pt idx="1">
                  <c:v>0.44</c:v>
                </c:pt>
                <c:pt idx="2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7234-460F-85F8-B09908A9E547}"/>
            </c:ext>
          </c:extLst>
        </c:ser>
        <c:ser>
          <c:idx val="4"/>
          <c:order val="4"/>
          <c:tx>
            <c:strRef>
              <c:f>GUIDE!$F$12</c:f>
              <c:strCache>
                <c:ptCount val="1"/>
                <c:pt idx="0">
                  <c:v>Cognitive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olid"/>
              <a:round/>
            </a:ln>
          </c:spPr>
          <c:marker>
            <c:symbol val="none"/>
          </c:marker>
          <c:cat>
            <c:numRef>
              <c:f>GUIDE!$A$13:$A$15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GUIDE!$F$13:$F$15</c:f>
              <c:numCache>
                <c:formatCode>0.00%</c:formatCode>
                <c:ptCount val="3"/>
                <c:pt idx="0">
                  <c:v>0</c:v>
                </c:pt>
                <c:pt idx="1">
                  <c:v>0.4</c:v>
                </c:pt>
                <c:pt idx="2">
                  <c:v>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7234-460F-85F8-B09908A9E547}"/>
            </c:ext>
          </c:extLst>
        </c:ser>
        <c:ser>
          <c:idx val="5"/>
          <c:order val="5"/>
          <c:tx>
            <c:strRef>
              <c:f>GUIDE!$G$12</c:f>
              <c:strCache>
                <c:ptCount val="1"/>
                <c:pt idx="0">
                  <c:v>Emotional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prstDash val="solid"/>
              <a:round/>
            </a:ln>
          </c:spPr>
          <c:marker>
            <c:symbol val="none"/>
          </c:marker>
          <c:cat>
            <c:numRef>
              <c:f>GUIDE!$A$13:$A$15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GUIDE!$G$13:$G$15</c:f>
              <c:numCache>
                <c:formatCode>0.00%</c:formatCode>
                <c:ptCount val="3"/>
                <c:pt idx="0">
                  <c:v>0</c:v>
                </c:pt>
                <c:pt idx="1">
                  <c:v>0.55000000000000004</c:v>
                </c:pt>
                <c:pt idx="2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7234-460F-85F8-B09908A9E547}"/>
            </c:ext>
          </c:extLst>
        </c:ser>
        <c:ser>
          <c:idx val="6"/>
          <c:order val="6"/>
          <c:tx>
            <c:strRef>
              <c:f>GUIDE!$H$12</c:f>
              <c:strCache>
                <c:ptCount val="1"/>
                <c:pt idx="0">
                  <c:v>Social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prstDash val="solid"/>
              <a:round/>
            </a:ln>
          </c:spPr>
          <c:marker>
            <c:symbol val="none"/>
          </c:marker>
          <c:cat>
            <c:numRef>
              <c:f>GUIDE!$A$13:$A$15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GUIDE!$H$13:$H$15</c:f>
              <c:numCache>
                <c:formatCode>0.00%</c:formatCode>
                <c:ptCount val="3"/>
                <c:pt idx="0">
                  <c:v>0</c:v>
                </c:pt>
                <c:pt idx="1">
                  <c:v>0.42</c:v>
                </c:pt>
                <c:pt idx="2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7234-460F-85F8-B09908A9E547}"/>
            </c:ext>
          </c:extLst>
        </c:ser>
        <c:ser>
          <c:idx val="7"/>
          <c:order val="7"/>
          <c:tx>
            <c:strRef>
              <c:f>GUIDE!$I$12</c:f>
              <c:strCache>
                <c:ptCount val="1"/>
                <c:pt idx="0">
                  <c:v>Self-Care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prstDash val="solid"/>
              <a:round/>
            </a:ln>
          </c:spPr>
          <c:marker>
            <c:symbol val="none"/>
          </c:marker>
          <c:cat>
            <c:numRef>
              <c:f>GUIDE!$A$13:$A$15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GUIDE!$I$13:$I$15</c:f>
              <c:numCache>
                <c:formatCode>0.00%</c:formatCode>
                <c:ptCount val="3"/>
                <c:pt idx="0">
                  <c:v>0</c:v>
                </c:pt>
                <c:pt idx="1">
                  <c:v>0.02</c:v>
                </c:pt>
                <c:pt idx="2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7234-460F-85F8-B09908A9E547}"/>
            </c:ext>
          </c:extLst>
        </c:ser>
        <c:ser>
          <c:idx val="8"/>
          <c:order val="8"/>
          <c:tx>
            <c:strRef>
              <c:f>GUIDE!$J$12</c:f>
              <c:strCache>
                <c:ptCount val="1"/>
                <c:pt idx="0">
                  <c:v>Norm (90%)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</c:spPr>
          <c:marker>
            <c:symbol val="none"/>
          </c:marker>
          <c:cat>
            <c:numRef>
              <c:f>GUIDE!$A$13:$A$15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GUIDE!$J$13:$J$15</c:f>
              <c:numCache>
                <c:formatCode>General</c:formatCode>
                <c:ptCount val="3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7234-460F-85F8-B09908A9E54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72370240"/>
        <c:axId val="294231344"/>
      </c:lineChart>
      <c:dateAx>
        <c:axId val="272370240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94231344"/>
        <c:crosses val="autoZero"/>
        <c:auto val="1"/>
        <c:lblOffset val="100"/>
        <c:baseTimeUnit val="days"/>
      </c:dateAx>
      <c:valAx>
        <c:axId val="29423134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272370240"/>
        <c:crosses val="autoZero"/>
        <c:crossBetween val="between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 rot="0"/>
          <a:lstStyle/>
          <a:p>
            <a:pPr>
              <a:defRPr lang="ru-RU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Development Profile</a:t>
            </a:r>
            <a:endParaRPr lang="ru-RU" sz="1800" b="1" strike="noStrike" spc="-1">
              <a:solidFill>
                <a:srgbClr val="000000"/>
              </a:solidFill>
              <a:latin typeface="Calibri"/>
            </a:endParaRP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/>
      <c:radarChart>
        <c:radarStyle val="marker"/>
        <c:varyColors val="0"/>
        <c:ser>
          <c:idx val="0"/>
          <c:order val="0"/>
          <c:spPr>
            <a:ln w="28440">
              <a:solidFill>
                <a:srgbClr val="4A7EBB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Calibri"/>
                  </a:defRPr>
                </a:pPr>
                <a:endParaRPr lang="ru-RU"/>
              </a:p>
            </c:txPr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PROFILE!$A$2:$A$8</c:f>
              <c:strCache>
                <c:ptCount val="7"/>
                <c:pt idx="0">
                  <c:v>Gross Motor</c:v>
                </c:pt>
                <c:pt idx="1">
                  <c:v>Fine Motor</c:v>
                </c:pt>
                <c:pt idx="2">
                  <c:v>Speech</c:v>
                </c:pt>
                <c:pt idx="3">
                  <c:v>Cognitive</c:v>
                </c:pt>
                <c:pt idx="4">
                  <c:v>Emotional</c:v>
                </c:pt>
                <c:pt idx="5">
                  <c:v>Social</c:v>
                </c:pt>
                <c:pt idx="6">
                  <c:v>Self-Care</c:v>
                </c:pt>
              </c:strCache>
            </c:strRef>
          </c:cat>
          <c:val>
            <c:numRef>
              <c:f>PROFILE!$B$2:$B$8</c:f>
              <c:numCache>
                <c:formatCode>0.0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A6-4C6B-BDDB-7DDE62ADA2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7686231"/>
        <c:axId val="70985425"/>
      </c:radarChart>
      <c:catAx>
        <c:axId val="7686231"/>
        <c:scaling>
          <c:orientation val="minMax"/>
        </c:scaling>
        <c:delete val="0"/>
        <c:axPos val="b"/>
        <c:majorGridlines>
          <c:spPr>
            <a:ln w="9360">
              <a:solidFill>
                <a:srgbClr val="878787"/>
              </a:solidFill>
              <a:prstDash val="solid"/>
              <a:round/>
            </a:ln>
          </c:spPr>
        </c:majorGridlines>
        <c:numFmt formatCode="General" sourceLinked="0"/>
        <c:majorTickMark val="out"/>
        <c:minorTickMark val="none"/>
        <c:tickLblPos val="nextTo"/>
        <c:spPr>
          <a:ln w="9360">
            <a:noFill/>
            <a:prstDash val="solid"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70985425"/>
        <c:crosses val="autoZero"/>
        <c:auto val="1"/>
        <c:lblAlgn val="ctr"/>
        <c:lblOffset val="100"/>
        <c:noMultiLvlLbl val="0"/>
      </c:catAx>
      <c:valAx>
        <c:axId val="70985425"/>
        <c:scaling>
          <c:orientation val="minMax"/>
          <c:max val="84"/>
          <c:min val="0"/>
        </c:scaling>
        <c:delete val="0"/>
        <c:axPos val="l"/>
        <c:majorGridlines>
          <c:spPr>
            <a:ln w="9360">
              <a:solidFill>
                <a:srgbClr val="878787"/>
              </a:solidFill>
              <a:prstDash val="solid"/>
              <a:round/>
            </a:ln>
          </c:spPr>
        </c:majorGridlines>
        <c:numFmt formatCode="0.0" sourceLinked="0"/>
        <c:majorTickMark val="cross"/>
        <c:minorTickMark val="none"/>
        <c:tickLblPos val="nextTo"/>
        <c:spPr>
          <a:ln w="9360">
            <a:solidFill>
              <a:srgbClr val="878787"/>
            </a:solidFill>
            <a:prstDash val="solid"/>
            <a:round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7686231"/>
        <c:crosses val="autoZero"/>
        <c:crossBetween val="midCat"/>
        <c:majorUnit val="12"/>
      </c:valAx>
    </c:plotArea>
    <c:legend>
      <c:legendPos val="r"/>
      <c:overlay val="0"/>
      <c:spPr>
        <a:noFill/>
        <a:ln w="0">
          <a:noFill/>
          <a:prstDash val="solid"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 rot="0"/>
          <a:lstStyle/>
          <a:p>
            <a:pPr>
              <a:defRPr lang="ru-RU" sz="1800" b="1" strike="noStrike" spc="-1">
                <a:solidFill>
                  <a:srgbClr val="000000"/>
                </a:solidFill>
                <a:latin typeface="Calibri"/>
              </a:defRPr>
            </a:pPr>
            <a:r>
              <a:rPr lang="en-US" sz="1800" b="1" strike="noStrike" spc="-1">
                <a:solidFill>
                  <a:srgbClr val="000000"/>
                </a:solidFill>
                <a:latin typeface="Calibri"/>
              </a:rPr>
              <a:t>Child development Chart</a:t>
            </a:r>
            <a:endParaRPr lang="ru-RU" sz="1800" b="1" strike="noStrike" spc="-1">
              <a:solidFill>
                <a:srgbClr val="000000"/>
              </a:solidFill>
              <a:latin typeface="Calibri"/>
            </a:endParaRPr>
          </a:p>
        </c:rich>
      </c:tx>
      <c:overlay val="0"/>
      <c:spPr>
        <a:noFill/>
        <a:ln w="0">
          <a:noFill/>
          <a:prstDash val="solid"/>
        </a:ln>
      </c:spPr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PROFILE!$F$1</c:f>
              <c:strCache>
                <c:ptCount val="1"/>
                <c:pt idx="0">
                  <c:v>% of age</c:v>
                </c:pt>
              </c:strCache>
            </c:strRef>
          </c:tx>
          <c:spPr>
            <a:solidFill>
              <a:srgbClr val="4472C4"/>
            </a:solidFill>
            <a:ln w="0">
              <a:noFill/>
              <a:prstDash val="solid"/>
            </a:ln>
          </c:spPr>
          <c:invertIfNegative val="0"/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ru-RU"/>
              </a:p>
            </c:txPr>
            <c:dLblPos val="outEnd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PROFILE!$A$2:$A$8</c:f>
              <c:strCache>
                <c:ptCount val="7"/>
                <c:pt idx="0">
                  <c:v>Gross Motor</c:v>
                </c:pt>
                <c:pt idx="1">
                  <c:v>Fine Motor</c:v>
                </c:pt>
                <c:pt idx="2">
                  <c:v>Speech</c:v>
                </c:pt>
                <c:pt idx="3">
                  <c:v>Cognitive</c:v>
                </c:pt>
                <c:pt idx="4">
                  <c:v>Emotional</c:v>
                </c:pt>
                <c:pt idx="5">
                  <c:v>Social</c:v>
                </c:pt>
                <c:pt idx="6">
                  <c:v>Self-Care</c:v>
                </c:pt>
              </c:strCache>
            </c:strRef>
          </c:cat>
          <c:val>
            <c:numRef>
              <c:f>PROFILE!$F$2:$F$8</c:f>
              <c:numCache>
                <c:formatCode>0.0%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52B-4181-9CFF-C8BD5FF45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8564397"/>
        <c:axId val="44279232"/>
      </c:barChart>
      <c:lineChart>
        <c:grouping val="standard"/>
        <c:varyColors val="0"/>
        <c:ser>
          <c:idx val="1"/>
          <c:order val="1"/>
          <c:tx>
            <c:strRef>
              <c:f>PROFILE!$N$1</c:f>
              <c:strCache>
                <c:ptCount val="1"/>
                <c:pt idx="0">
                  <c:v>Norm 90%</c:v>
                </c:pt>
              </c:strCache>
            </c:strRef>
          </c:tx>
          <c:spPr>
            <a:ln w="28080">
              <a:solidFill>
                <a:srgbClr val="FF0000"/>
              </a:solidFill>
              <a:prstDash val="solid"/>
              <a:round/>
            </a:ln>
          </c:spPr>
          <c:marker>
            <c:symbol val="none"/>
          </c:marker>
          <c:dLbls>
            <c:spPr>
              <a:noFill/>
              <a:ln>
                <a:noFill/>
                <a:prstDash val="solid"/>
              </a:ln>
            </c:spPr>
            <c:txPr>
              <a:bodyPr wrap="square"/>
              <a:lstStyle/>
              <a:p>
                <a:pPr>
                  <a:defRPr sz="1000" b="0" strike="noStrike" spc="-1">
                    <a:solidFill>
                      <a:srgbClr val="000000"/>
                    </a:solidFill>
                    <a:latin typeface="Arial"/>
                  </a:defRPr>
                </a:pPr>
                <a:endParaRPr lang="ru-RU"/>
              </a:p>
            </c:txPr>
            <c:dLblPos val="r"/>
            <c:showLegendKey val="0"/>
            <c:showVal val="0"/>
            <c:showCatName val="0"/>
            <c:showSerName val="0"/>
            <c:showPercent val="0"/>
            <c:showBubbleSize val="1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PROFILE!$A$2:$A$8</c:f>
              <c:strCache>
                <c:ptCount val="7"/>
                <c:pt idx="0">
                  <c:v>Gross Motor</c:v>
                </c:pt>
                <c:pt idx="1">
                  <c:v>Fine Motor</c:v>
                </c:pt>
                <c:pt idx="2">
                  <c:v>Speech</c:v>
                </c:pt>
                <c:pt idx="3">
                  <c:v>Cognitive</c:v>
                </c:pt>
                <c:pt idx="4">
                  <c:v>Emotional</c:v>
                </c:pt>
                <c:pt idx="5">
                  <c:v>Social</c:v>
                </c:pt>
                <c:pt idx="6">
                  <c:v>Self-Care</c:v>
                </c:pt>
              </c:strCache>
            </c:strRef>
          </c:cat>
          <c:val>
            <c:numRef>
              <c:f>PROFILE!$N$2:$N$8</c:f>
              <c:numCache>
                <c:formatCode>General</c:formatCode>
                <c:ptCount val="7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  <c:pt idx="3">
                  <c:v>0.9</c:v>
                </c:pt>
                <c:pt idx="4">
                  <c:v>0.9</c:v>
                </c:pt>
                <c:pt idx="5">
                  <c:v>0.9</c:v>
                </c:pt>
                <c:pt idx="6">
                  <c:v>0.9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01-552B-4181-9CFF-C8BD5FF45AC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hiLowLines>
          <c:spPr>
            <a:ln w="0">
              <a:noFill/>
              <a:prstDash val="solid"/>
            </a:ln>
          </c:spPr>
        </c:hiLowLines>
        <c:marker val="1"/>
        <c:smooth val="0"/>
        <c:axId val="28564397"/>
        <c:axId val="44279232"/>
      </c:lineChart>
      <c:catAx>
        <c:axId val="28564397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44279232"/>
        <c:crosses val="autoZero"/>
        <c:auto val="1"/>
        <c:lblAlgn val="ctr"/>
        <c:lblOffset val="100"/>
        <c:noMultiLvlLbl val="0"/>
      </c:catAx>
      <c:valAx>
        <c:axId val="44279232"/>
        <c:scaling>
          <c:orientation val="minMax"/>
          <c:max val="1"/>
          <c:min val="0"/>
        </c:scaling>
        <c:delete val="0"/>
        <c:axPos val="l"/>
        <c:majorGridlines>
          <c:spPr>
            <a:ln w="0">
              <a:solidFill>
                <a:srgbClr val="B3B3B3"/>
              </a:solidFill>
              <a:prstDash val="solid"/>
            </a:ln>
          </c:spPr>
        </c:majorGridlines>
        <c:title>
          <c:tx>
            <c:rich>
              <a:bodyPr rot="-5400000"/>
              <a:lstStyle/>
              <a:p>
                <a:pPr>
                  <a:defRPr lang="ru-RU" sz="1000" b="1" strike="noStrike" spc="-1">
                    <a:solidFill>
                      <a:srgbClr val="000000"/>
                    </a:solidFill>
                    <a:latin typeface="Calibri"/>
                  </a:defRPr>
                </a:pPr>
                <a:r>
                  <a:rPr lang="ru-RU" sz="1000" b="1" strike="noStrike" spc="-1">
                    <a:solidFill>
                      <a:srgbClr val="000000"/>
                    </a:solidFill>
                    <a:latin typeface="Calibri"/>
                  </a:rPr>
                  <a:t>% </a:t>
                </a:r>
                <a:r>
                  <a:rPr lang="en-US" sz="1000" b="1" strike="noStrike" spc="-1">
                    <a:solidFill>
                      <a:srgbClr val="000000"/>
                    </a:solidFill>
                    <a:latin typeface="Calibri"/>
                  </a:rPr>
                  <a:t> of skill mastery</a:t>
                </a:r>
                <a:endParaRPr lang="ru-RU" sz="1000" b="1" strike="noStrike" spc="-1">
                  <a:solidFill>
                    <a:srgbClr val="000000"/>
                  </a:solidFill>
                  <a:latin typeface="Calibri"/>
                </a:endParaRPr>
              </a:p>
            </c:rich>
          </c:tx>
          <c:overlay val="0"/>
          <c:spPr>
            <a:noFill/>
            <a:ln w="0">
              <a:noFill/>
              <a:prstDash val="solid"/>
            </a:ln>
          </c:spPr>
        </c:title>
        <c:numFmt formatCode="General" sourceLinked="0"/>
        <c:majorTickMark val="none"/>
        <c:minorTickMark val="none"/>
        <c:tickLblPos val="nextTo"/>
        <c:spPr>
          <a:ln w="0">
            <a:solidFill>
              <a:srgbClr val="B3B3B3"/>
            </a:solidFill>
            <a:prstDash val="solid"/>
          </a:ln>
        </c:spPr>
        <c:txPr>
          <a:bodyPr/>
          <a:lstStyle/>
          <a:p>
            <a:pPr>
              <a:defRPr sz="1000" b="0" strike="noStrike" spc="-1">
                <a:solidFill>
                  <a:srgbClr val="000000"/>
                </a:solidFill>
                <a:latin typeface="Calibri"/>
              </a:defRPr>
            </a:pPr>
            <a:endParaRPr lang="ru-RU"/>
          </a:p>
        </c:txPr>
        <c:crossAx val="28564397"/>
        <c:crosses val="autoZero"/>
        <c:crossBetween val="between"/>
      </c:valAx>
    </c:plotArea>
    <c:legend>
      <c:legendPos val="r"/>
      <c:overlay val="0"/>
      <c:spPr>
        <a:noFill/>
        <a:ln w="0">
          <a:noFill/>
          <a:prstDash val="solid"/>
        </a:ln>
      </c:spPr>
      <c:txPr>
        <a:bodyPr/>
        <a:lstStyle/>
        <a:p>
          <a:pPr>
            <a:defRPr sz="1000" b="0" strike="noStrike" spc="-1">
              <a:solidFill>
                <a:srgbClr val="000000"/>
              </a:solidFill>
              <a:latin typeface="Calibri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rgbClr val="FFFFFF"/>
    </a:solidFill>
    <a:ln w="9360">
      <a:solidFill>
        <a:srgbClr val="D9D9D9"/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ru-RU"/>
  <c:roundedCorners val="1"/>
  <c:style val="2"/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>
                <a:solidFill>
                  <a:sysClr val="windowText" lastClr="000000"/>
                </a:solidFill>
              </a:rPr>
              <a:t>Development</a:t>
            </a:r>
            <a:r>
              <a:rPr lang="en-US" baseline="0">
                <a:solidFill>
                  <a:sysClr val="windowText" lastClr="000000"/>
                </a:solidFill>
              </a:rPr>
              <a:t> Progress over Time</a:t>
            </a:r>
            <a:endParaRPr lang="ru-RU">
              <a:solidFill>
                <a:sysClr val="windowText" lastClr="000000"/>
              </a:solidFill>
            </a:endParaRPr>
          </a:p>
        </c:rich>
      </c:tx>
      <c:layout>
        <c:manualLayout>
          <c:xMode val="edge"/>
          <c:yMode val="edge"/>
          <c:x val="0.32056933508311458"/>
          <c:y val="2.777777777777778E-2"/>
        </c:manualLayout>
      </c:layout>
      <c:overlay val="0"/>
      <c:spPr>
        <a:noFill/>
        <a:ln>
          <a:noFill/>
          <a:prstDash val="solid"/>
        </a:ln>
      </c:sp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GUIDE!$B$12</c:f>
              <c:strCache>
                <c:ptCount val="1"/>
                <c:pt idx="0">
                  <c:v>Average Index</c:v>
                </c:pt>
              </c:strCache>
            </c:strRef>
          </c:tx>
          <c:spPr>
            <a:ln w="28575" cap="rnd">
              <a:solidFill>
                <a:schemeClr val="tx1"/>
              </a:solidFill>
              <a:prstDash val="solid"/>
              <a:round/>
            </a:ln>
          </c:spPr>
          <c:marker>
            <c:symbol val="none"/>
          </c:marker>
          <c:cat>
            <c:numRef>
              <c:f>GUIDE!$A$13:$A$15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GUIDE!$B$13:$B$15</c:f>
              <c:numCache>
                <c:formatCode>0.00%</c:formatCode>
                <c:ptCount val="3"/>
                <c:pt idx="0">
                  <c:v>0</c:v>
                </c:pt>
                <c:pt idx="1">
                  <c:v>0.42</c:v>
                </c:pt>
                <c:pt idx="2">
                  <c:v>0.44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AA1-4674-9AFC-FBBCC4796621}"/>
            </c:ext>
          </c:extLst>
        </c:ser>
        <c:ser>
          <c:idx val="1"/>
          <c:order val="1"/>
          <c:tx>
            <c:strRef>
              <c:f>GUIDE!$C$12</c:f>
              <c:strCache>
                <c:ptCount val="1"/>
                <c:pt idx="0">
                  <c:v>Gross Motor</c:v>
                </c:pt>
              </c:strCache>
            </c:strRef>
          </c:tx>
          <c:spPr>
            <a:ln w="28575" cap="rnd">
              <a:solidFill>
                <a:schemeClr val="accent2"/>
              </a:solidFill>
              <a:prstDash val="solid"/>
              <a:round/>
            </a:ln>
          </c:spPr>
          <c:marker>
            <c:symbol val="none"/>
          </c:marker>
          <c:cat>
            <c:numRef>
              <c:f>GUIDE!$A$13:$A$15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GUIDE!$C$13:$C$15</c:f>
              <c:numCache>
                <c:formatCode>0.00%</c:formatCode>
                <c:ptCount val="3"/>
                <c:pt idx="0">
                  <c:v>0</c:v>
                </c:pt>
                <c:pt idx="1">
                  <c:v>0.45</c:v>
                </c:pt>
                <c:pt idx="2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AA1-4674-9AFC-FBBCC4796621}"/>
            </c:ext>
          </c:extLst>
        </c:ser>
        <c:ser>
          <c:idx val="2"/>
          <c:order val="2"/>
          <c:tx>
            <c:strRef>
              <c:f>GUIDE!$D$12</c:f>
              <c:strCache>
                <c:ptCount val="1"/>
                <c:pt idx="0">
                  <c:v>Fine Motor</c:v>
                </c:pt>
              </c:strCache>
            </c:strRef>
          </c:tx>
          <c:spPr>
            <a:ln w="28575" cap="rnd">
              <a:solidFill>
                <a:schemeClr val="accent3"/>
              </a:solidFill>
              <a:prstDash val="solid"/>
              <a:round/>
            </a:ln>
          </c:spPr>
          <c:marker>
            <c:symbol val="none"/>
          </c:marker>
          <c:cat>
            <c:numRef>
              <c:f>GUIDE!$A$13:$A$15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GUIDE!$D$13:$D$15</c:f>
              <c:numCache>
                <c:formatCode>0.00%</c:formatCode>
                <c:ptCount val="3"/>
                <c:pt idx="0">
                  <c:v>0</c:v>
                </c:pt>
                <c:pt idx="1">
                  <c:v>0.46</c:v>
                </c:pt>
                <c:pt idx="2">
                  <c:v>0.48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0AA1-4674-9AFC-FBBCC4796621}"/>
            </c:ext>
          </c:extLst>
        </c:ser>
        <c:ser>
          <c:idx val="3"/>
          <c:order val="3"/>
          <c:tx>
            <c:strRef>
              <c:f>GUIDE!$E$12</c:f>
              <c:strCache>
                <c:ptCount val="1"/>
                <c:pt idx="0">
                  <c:v>Speech</c:v>
                </c:pt>
              </c:strCache>
            </c:strRef>
          </c:tx>
          <c:spPr>
            <a:ln w="28575" cap="rnd">
              <a:solidFill>
                <a:schemeClr val="accent4"/>
              </a:solidFill>
              <a:prstDash val="solid"/>
              <a:round/>
            </a:ln>
          </c:spPr>
          <c:marker>
            <c:symbol val="none"/>
          </c:marker>
          <c:cat>
            <c:numRef>
              <c:f>GUIDE!$A$13:$A$15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GUIDE!$E$13:$E$15</c:f>
              <c:numCache>
                <c:formatCode>0.00%</c:formatCode>
                <c:ptCount val="3"/>
                <c:pt idx="0">
                  <c:v>0</c:v>
                </c:pt>
                <c:pt idx="1">
                  <c:v>0.44</c:v>
                </c:pt>
                <c:pt idx="2">
                  <c:v>0.46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0AA1-4674-9AFC-FBBCC4796621}"/>
            </c:ext>
          </c:extLst>
        </c:ser>
        <c:ser>
          <c:idx val="4"/>
          <c:order val="4"/>
          <c:tx>
            <c:strRef>
              <c:f>GUIDE!$F$12</c:f>
              <c:strCache>
                <c:ptCount val="1"/>
                <c:pt idx="0">
                  <c:v>Cognitive</c:v>
                </c:pt>
              </c:strCache>
            </c:strRef>
          </c:tx>
          <c:spPr>
            <a:ln w="28575" cap="rnd">
              <a:solidFill>
                <a:schemeClr val="accent5"/>
              </a:solidFill>
              <a:prstDash val="solid"/>
              <a:round/>
            </a:ln>
          </c:spPr>
          <c:marker>
            <c:symbol val="none"/>
          </c:marker>
          <c:cat>
            <c:numRef>
              <c:f>GUIDE!$A$13:$A$15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GUIDE!$F$13:$F$15</c:f>
              <c:numCache>
                <c:formatCode>0.00%</c:formatCode>
                <c:ptCount val="3"/>
                <c:pt idx="0">
                  <c:v>0</c:v>
                </c:pt>
                <c:pt idx="1">
                  <c:v>0.4</c:v>
                </c:pt>
                <c:pt idx="2">
                  <c:v>0.42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0AA1-4674-9AFC-FBBCC4796621}"/>
            </c:ext>
          </c:extLst>
        </c:ser>
        <c:ser>
          <c:idx val="5"/>
          <c:order val="5"/>
          <c:tx>
            <c:strRef>
              <c:f>GUIDE!$G$12</c:f>
              <c:strCache>
                <c:ptCount val="1"/>
                <c:pt idx="0">
                  <c:v>Emotional</c:v>
                </c:pt>
              </c:strCache>
            </c:strRef>
          </c:tx>
          <c:spPr>
            <a:ln w="28575" cap="rnd">
              <a:solidFill>
                <a:schemeClr val="accent6"/>
              </a:solidFill>
              <a:prstDash val="solid"/>
              <a:round/>
            </a:ln>
          </c:spPr>
          <c:marker>
            <c:symbol val="none"/>
          </c:marker>
          <c:cat>
            <c:numRef>
              <c:f>GUIDE!$A$13:$A$15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GUIDE!$G$13:$G$15</c:f>
              <c:numCache>
                <c:formatCode>0.00%</c:formatCode>
                <c:ptCount val="3"/>
                <c:pt idx="0">
                  <c:v>0</c:v>
                </c:pt>
                <c:pt idx="1">
                  <c:v>0.55000000000000004</c:v>
                </c:pt>
                <c:pt idx="2">
                  <c:v>0.6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0AA1-4674-9AFC-FBBCC4796621}"/>
            </c:ext>
          </c:extLst>
        </c:ser>
        <c:ser>
          <c:idx val="6"/>
          <c:order val="6"/>
          <c:tx>
            <c:strRef>
              <c:f>GUIDE!$H$12</c:f>
              <c:strCache>
                <c:ptCount val="1"/>
                <c:pt idx="0">
                  <c:v>Social</c:v>
                </c:pt>
              </c:strCache>
            </c:strRef>
          </c:tx>
          <c:spPr>
            <a:ln w="28575" cap="rnd">
              <a:solidFill>
                <a:schemeClr val="accent1">
                  <a:lumMod val="60000"/>
                </a:schemeClr>
              </a:solidFill>
              <a:prstDash val="solid"/>
              <a:round/>
            </a:ln>
          </c:spPr>
          <c:marker>
            <c:symbol val="none"/>
          </c:marker>
          <c:cat>
            <c:numRef>
              <c:f>GUIDE!$A$13:$A$15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GUIDE!$H$13:$H$15</c:f>
              <c:numCache>
                <c:formatCode>0.00%</c:formatCode>
                <c:ptCount val="3"/>
                <c:pt idx="0">
                  <c:v>0</c:v>
                </c:pt>
                <c:pt idx="1">
                  <c:v>0.42</c:v>
                </c:pt>
                <c:pt idx="2">
                  <c:v>0.45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0AA1-4674-9AFC-FBBCC4796621}"/>
            </c:ext>
          </c:extLst>
        </c:ser>
        <c:ser>
          <c:idx val="7"/>
          <c:order val="7"/>
          <c:tx>
            <c:strRef>
              <c:f>GUIDE!$I$12</c:f>
              <c:strCache>
                <c:ptCount val="1"/>
                <c:pt idx="0">
                  <c:v>Self-Care</c:v>
                </c:pt>
              </c:strCache>
            </c:strRef>
          </c:tx>
          <c:spPr>
            <a:ln w="28575" cap="rnd">
              <a:solidFill>
                <a:schemeClr val="accent2">
                  <a:lumMod val="60000"/>
                </a:schemeClr>
              </a:solidFill>
              <a:prstDash val="solid"/>
              <a:round/>
            </a:ln>
          </c:spPr>
          <c:marker>
            <c:symbol val="none"/>
          </c:marker>
          <c:cat>
            <c:numRef>
              <c:f>GUIDE!$A$13:$A$15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GUIDE!$I$13:$I$15</c:f>
              <c:numCache>
                <c:formatCode>0.00%</c:formatCode>
                <c:ptCount val="3"/>
                <c:pt idx="0">
                  <c:v>0</c:v>
                </c:pt>
                <c:pt idx="1">
                  <c:v>0.02</c:v>
                </c:pt>
                <c:pt idx="2">
                  <c:v>0.08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7-0AA1-4674-9AFC-FBBCC4796621}"/>
            </c:ext>
          </c:extLst>
        </c:ser>
        <c:ser>
          <c:idx val="8"/>
          <c:order val="8"/>
          <c:tx>
            <c:strRef>
              <c:f>GUIDE!#REF!</c:f>
              <c:strCache>
                <c:ptCount val="1"/>
                <c:pt idx="0">
                  <c:v>#REF!</c:v>
                </c:pt>
              </c:strCache>
            </c:strRef>
          </c:tx>
          <c:spPr>
            <a:ln w="28575" cap="rnd">
              <a:solidFill>
                <a:schemeClr val="accent3">
                  <a:lumMod val="60000"/>
                </a:schemeClr>
              </a:solidFill>
              <a:prstDash val="solid"/>
              <a:round/>
            </a:ln>
          </c:spPr>
          <c:marker>
            <c:symbol val="none"/>
          </c:marker>
          <c:cat>
            <c:numRef>
              <c:f>GUIDE!$A$13:$A$15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GUIDE!$J$13:$J$15</c:f>
              <c:numCache>
                <c:formatCode>General</c:formatCode>
                <c:ptCount val="3"/>
                <c:pt idx="0">
                  <c:v>0.9</c:v>
                </c:pt>
                <c:pt idx="1">
                  <c:v>0.9</c:v>
                </c:pt>
                <c:pt idx="2">
                  <c:v>0.9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8-0AA1-4674-9AFC-FBBCC4796621}"/>
            </c:ext>
          </c:extLst>
        </c:ser>
        <c:ser>
          <c:idx val="9"/>
          <c:order val="9"/>
          <c:tx>
            <c:strRef>
              <c:f>GUIDE!$J$12</c:f>
              <c:strCache>
                <c:ptCount val="1"/>
                <c:pt idx="0">
                  <c:v>Norm (90%)</c:v>
                </c:pt>
              </c:strCache>
            </c:strRef>
          </c:tx>
          <c:spPr>
            <a:ln w="28575" cap="rnd">
              <a:solidFill>
                <a:srgbClr val="FF0000"/>
              </a:solidFill>
              <a:prstDash val="solid"/>
              <a:round/>
            </a:ln>
          </c:spPr>
          <c:marker>
            <c:symbol val="none"/>
          </c:marker>
          <c:cat>
            <c:numRef>
              <c:f>GUIDE!$A$13:$A$15</c:f>
              <c:numCache>
                <c:formatCode>m/d/yyyy</c:formatCode>
                <c:ptCount val="3"/>
                <c:pt idx="0">
                  <c:v>0</c:v>
                </c:pt>
                <c:pt idx="1">
                  <c:v>46125</c:v>
                </c:pt>
                <c:pt idx="2">
                  <c:v>46208</c:v>
                </c:pt>
              </c:numCache>
            </c:numRef>
          </c:cat>
          <c:val>
            <c:numRef>
              <c:f>GUIDE!$K$13:$K$15</c:f>
              <c:numCache>
                <c:formatCode>General</c:formatCode>
                <c:ptCount val="3"/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9-0AA1-4674-9AFC-FBBCC479662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370907872"/>
        <c:axId val="369885584"/>
      </c:lineChart>
      <c:dateAx>
        <c:axId val="370907872"/>
        <c:scaling>
          <c:orientation val="minMax"/>
        </c:scaling>
        <c:delete val="0"/>
        <c:axPos val="b"/>
        <c:numFmt formatCode="m/d/yyyy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prstDash val="solid"/>
            <a:round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69885584"/>
        <c:crosses val="autoZero"/>
        <c:auto val="1"/>
        <c:lblOffset val="100"/>
        <c:baseTimeUnit val="days"/>
      </c:dateAx>
      <c:valAx>
        <c:axId val="36988558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prstDash val="solid"/>
              <a:round/>
            </a:ln>
          </c:spPr>
        </c:majorGridlines>
        <c:numFmt formatCode="0.00%" sourceLinked="1"/>
        <c:majorTickMark val="none"/>
        <c:minorTickMark val="none"/>
        <c:tickLblPos val="nextTo"/>
        <c:spPr>
          <a:noFill/>
          <a:ln>
            <a:noFill/>
            <a:prstDash val="solid"/>
          </a:ln>
        </c:spPr>
        <c:txPr>
          <a:bodyPr rot="-60000000" spcFirstLastPara="1" vertOverflow="ellipsis" vert="horz" wrap="square" anchor="ctr" anchorCtr="1"/>
          <a:lstStyle/>
          <a:p>
            <a:pPr>
              <a:defRPr sz="900" b="0" i="0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ru-RU"/>
          </a:p>
        </c:txPr>
        <c:crossAx val="370907872"/>
        <c:crosses val="autoZero"/>
        <c:crossBetween val="between"/>
      </c:valAx>
    </c:plotArea>
    <c:legend>
      <c:legendPos val="b"/>
      <c:overlay val="0"/>
      <c:spPr>
        <a:noFill/>
        <a:ln>
          <a:noFill/>
          <a:prstDash val="solid"/>
        </a:ln>
      </c:spPr>
      <c:txPr>
        <a:bodyPr rot="0" spcFirstLastPara="1" vertOverflow="ellipsis" vert="horz" wrap="square" anchor="ctr" anchorCtr="1"/>
        <a:lstStyle/>
        <a:p>
          <a:pPr>
            <a:defRPr sz="900" b="0" i="0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ru-RU"/>
        </a:p>
      </c:txPr>
    </c:legend>
    <c:plotVisOnly val="1"/>
    <c:dispBlanksAs val="gap"/>
    <c:showDLblsOverMax val="1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prstDash val="solid"/>
      <a:round/>
    </a:ln>
  </c:spPr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Relationship Id="rId4" Type="http://schemas.openxmlformats.org/officeDocument/2006/relationships/hyperlink" Target="#'DEV PLAN'!A1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2551760</xdr:colOff>
      <xdr:row>7</xdr:row>
      <xdr:rowOff>199320</xdr:rowOff>
    </xdr:from>
    <xdr:to>
      <xdr:col>12</xdr:col>
      <xdr:colOff>321871</xdr:colOff>
      <xdr:row>17</xdr:row>
      <xdr:rowOff>9544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199908</xdr:colOff>
      <xdr:row>9</xdr:row>
      <xdr:rowOff>176388</xdr:rowOff>
    </xdr:from>
    <xdr:to>
      <xdr:col>4</xdr:col>
      <xdr:colOff>435608</xdr:colOff>
      <xdr:row>25</xdr:row>
      <xdr:rowOff>29278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4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5</xdr:col>
      <xdr:colOff>0</xdr:colOff>
      <xdr:row>31</xdr:row>
      <xdr:rowOff>11760</xdr:rowOff>
    </xdr:from>
    <xdr:to>
      <xdr:col>12</xdr:col>
      <xdr:colOff>538574</xdr:colOff>
      <xdr:row>35</xdr:row>
      <xdr:rowOff>426626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4</xdr:col>
      <xdr:colOff>31358</xdr:colOff>
      <xdr:row>31</xdr:row>
      <xdr:rowOff>156790</xdr:rowOff>
    </xdr:from>
    <xdr:to>
      <xdr:col>4</xdr:col>
      <xdr:colOff>2657593</xdr:colOff>
      <xdr:row>34</xdr:row>
      <xdr:rowOff>470370</xdr:rowOff>
    </xdr:to>
    <xdr:sp macro="" textlink="">
      <xdr:nvSpPr>
        <xdr:cNvPr id="6" name="Стрелка: вправо 5">
          <a:hlinkClick xmlns:r="http://schemas.openxmlformats.org/officeDocument/2006/relationships" r:id="rId4"/>
          <a:extLst>
            <a:ext uri="{FF2B5EF4-FFF2-40B4-BE49-F238E27FC236}">
              <a16:creationId xmlns:a16="http://schemas.microsoft.com/office/drawing/2014/main" id="{1A5FB46C-B321-497D-AE63-46889886C9AC}"/>
            </a:ext>
          </a:extLst>
        </xdr:cNvPr>
        <xdr:cNvSpPr/>
      </xdr:nvSpPr>
      <xdr:spPr>
        <a:xfrm>
          <a:off x="4100062" y="8913518"/>
          <a:ext cx="2626235" cy="1661975"/>
        </a:xfrm>
        <a:prstGeom prst="rightArrow">
          <a:avLst/>
        </a:prstGeom>
      </xdr:spPr>
      <xdr:style>
        <a:lnRef idx="2">
          <a:schemeClr val="accent3">
            <a:shade val="50000"/>
          </a:schemeClr>
        </a:lnRef>
        <a:fillRef idx="1">
          <a:schemeClr val="accent3"/>
        </a:fillRef>
        <a:effectRef idx="0">
          <a:schemeClr val="accent3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ctr"/>
          <a:endParaRPr lang="en-US" sz="1100" b="1">
            <a:solidFill>
              <a:sysClr val="windowText" lastClr="000000"/>
            </a:solidFill>
            <a:latin typeface="Arial Black" panose="020B0A04020102020204" pitchFamily="34" charset="0"/>
          </a:endParaRPr>
        </a:p>
        <a:p>
          <a:pPr algn="ctr"/>
          <a:r>
            <a:rPr lang="en-US" sz="1100" b="1">
              <a:solidFill>
                <a:sysClr val="windowText" lastClr="000000"/>
              </a:solidFill>
              <a:latin typeface="Arial Black" panose="020B0A04020102020204" pitchFamily="34" charset="0"/>
            </a:rPr>
            <a:t>Development plan</a:t>
          </a:r>
        </a:p>
        <a:p>
          <a:pPr algn="ctr"/>
          <a:r>
            <a:rPr lang="en-US" sz="1100" b="1">
              <a:solidFill>
                <a:sysClr val="windowText" lastClr="000000"/>
              </a:solidFill>
              <a:latin typeface="Arial Black" panose="020B0A04020102020204" pitchFamily="34" charset="0"/>
            </a:rPr>
            <a:t>(click)</a:t>
          </a:r>
          <a:endParaRPr lang="ru-RU" sz="1100" b="1">
            <a:solidFill>
              <a:sysClr val="windowText" lastClr="000000"/>
            </a:solidFill>
            <a:latin typeface="Arial Black" panose="020B0A04020102020204" pitchFamily="34" charset="0"/>
          </a:endParaRP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19050</xdr:colOff>
      <xdr:row>3</xdr:row>
      <xdr:rowOff>161925</xdr:rowOff>
    </xdr:from>
    <xdr:to>
      <xdr:col>7</xdr:col>
      <xdr:colOff>318930</xdr:colOff>
      <xdr:row>18</xdr:row>
      <xdr:rowOff>42705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 editAs="oneCell">
    <xdr:from>
      <xdr:col>0</xdr:col>
      <xdr:colOff>9525</xdr:colOff>
      <xdr:row>19</xdr:row>
      <xdr:rowOff>171450</xdr:rowOff>
    </xdr:from>
    <xdr:to>
      <xdr:col>7</xdr:col>
      <xdr:colOff>70365</xdr:colOff>
      <xdr:row>34</xdr:row>
      <xdr:rowOff>177210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0000000-0008-0000-0900-000003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8</xdr:col>
      <xdr:colOff>0</xdr:colOff>
      <xdr:row>4</xdr:row>
      <xdr:rowOff>0</xdr:rowOff>
    </xdr:from>
    <xdr:to>
      <xdr:col>15</xdr:col>
      <xdr:colOff>504825</xdr:colOff>
      <xdr:row>18</xdr:row>
      <xdr:rowOff>76200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0000000-0008-0000-0900-000004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</a:majorFont>
      <a:minorFont>
        <a:latin typeface="Calibri" panose="020F0502020204030204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5" tint="-0.249977111117893"/>
  </sheetPr>
  <dimension ref="A1:E24"/>
  <sheetViews>
    <sheetView showGridLines="0" topLeftCell="A19" zoomScaleNormal="100" workbookViewId="0">
      <selection activeCell="H21" sqref="H21"/>
    </sheetView>
  </sheetViews>
  <sheetFormatPr defaultColWidth="8.7265625" defaultRowHeight="14.5" x14ac:dyDescent="0.35"/>
  <cols>
    <col min="1" max="1" width="3" style="1" customWidth="1"/>
    <col min="2" max="2" width="5" style="1" customWidth="1"/>
    <col min="3" max="4" width="42" style="1" customWidth="1"/>
    <col min="5" max="5" width="3" style="1" customWidth="1"/>
  </cols>
  <sheetData>
    <row r="1" spans="2:5" ht="7.5" customHeight="1" x14ac:dyDescent="0.35">
      <c r="B1" s="2"/>
      <c r="C1" s="2"/>
      <c r="D1" s="2"/>
      <c r="E1" s="2"/>
    </row>
    <row r="2" spans="2:5" ht="7.5" customHeight="1" x14ac:dyDescent="0.35">
      <c r="B2" s="2"/>
      <c r="C2" s="2"/>
      <c r="D2" s="2"/>
      <c r="E2" s="2"/>
    </row>
    <row r="3" spans="2:5" ht="60" customHeight="1" x14ac:dyDescent="0.35">
      <c r="B3" s="181" t="s">
        <v>0</v>
      </c>
      <c r="C3" s="169"/>
      <c r="D3" s="169"/>
      <c r="E3" s="169"/>
    </row>
    <row r="4" spans="2:5" ht="30" customHeight="1" x14ac:dyDescent="0.35">
      <c r="B4" s="183" t="s">
        <v>1</v>
      </c>
      <c r="C4" s="169"/>
      <c r="D4" s="169"/>
      <c r="E4" s="169"/>
    </row>
    <row r="5" spans="2:5" ht="9.75" customHeight="1" x14ac:dyDescent="0.35">
      <c r="B5" s="3"/>
      <c r="C5" s="3"/>
      <c r="D5" s="3"/>
      <c r="E5" s="3"/>
    </row>
    <row r="6" spans="2:5" ht="15.75" customHeight="1" x14ac:dyDescent="0.35"/>
    <row r="7" spans="2:5" ht="27.75" customHeight="1" x14ac:dyDescent="0.35">
      <c r="B7" s="173" t="s">
        <v>2</v>
      </c>
      <c r="C7" s="169"/>
      <c r="D7" s="169"/>
      <c r="E7" s="169"/>
    </row>
    <row r="8" spans="2:5" ht="9.75" customHeight="1" x14ac:dyDescent="0.35"/>
    <row r="9" spans="2:5" ht="30" customHeight="1" x14ac:dyDescent="0.35">
      <c r="B9" s="179" t="s">
        <v>3</v>
      </c>
      <c r="C9" s="170" t="s">
        <v>4</v>
      </c>
      <c r="D9" s="171"/>
      <c r="E9" s="172"/>
    </row>
    <row r="10" spans="2:5" ht="87" customHeight="1" x14ac:dyDescent="0.35">
      <c r="B10" s="180"/>
      <c r="C10" s="174" t="s">
        <v>5</v>
      </c>
      <c r="D10" s="175"/>
      <c r="E10" s="176"/>
    </row>
    <row r="11" spans="2:5" ht="7.5" customHeight="1" x14ac:dyDescent="0.35">
      <c r="B11" s="4"/>
      <c r="E11" s="5"/>
    </row>
    <row r="12" spans="2:5" ht="30" customHeight="1" x14ac:dyDescent="0.35">
      <c r="B12" s="179" t="s">
        <v>6</v>
      </c>
      <c r="C12" s="170" t="s">
        <v>7</v>
      </c>
      <c r="D12" s="171"/>
      <c r="E12" s="172"/>
    </row>
    <row r="13" spans="2:5" ht="92.25" customHeight="1" x14ac:dyDescent="0.35">
      <c r="B13" s="180"/>
      <c r="C13" s="174" t="s">
        <v>8</v>
      </c>
      <c r="D13" s="175"/>
      <c r="E13" s="176"/>
    </row>
    <row r="14" spans="2:5" ht="7.5" customHeight="1" x14ac:dyDescent="0.35">
      <c r="B14" s="4"/>
      <c r="E14" s="5"/>
    </row>
    <row r="15" spans="2:5" ht="30" customHeight="1" x14ac:dyDescent="0.35">
      <c r="B15" s="179" t="s">
        <v>9</v>
      </c>
      <c r="C15" s="170" t="s">
        <v>10</v>
      </c>
      <c r="D15" s="171"/>
      <c r="E15" s="172"/>
    </row>
    <row r="16" spans="2:5" ht="70.5" customHeight="1" x14ac:dyDescent="0.35">
      <c r="B16" s="180"/>
      <c r="C16" s="174" t="s">
        <v>11</v>
      </c>
      <c r="D16" s="175"/>
      <c r="E16" s="176"/>
    </row>
    <row r="17" spans="2:5" ht="12" customHeight="1" x14ac:dyDescent="0.35"/>
    <row r="18" spans="2:5" ht="3.75" customHeight="1" x14ac:dyDescent="0.35">
      <c r="B18" s="111"/>
      <c r="C18" s="111"/>
      <c r="D18" s="111"/>
      <c r="E18" s="111"/>
    </row>
    <row r="19" spans="2:5" ht="9.75" customHeight="1" x14ac:dyDescent="0.35"/>
    <row r="20" spans="2:5" ht="25.5" customHeight="1" x14ac:dyDescent="0.35">
      <c r="B20" s="182" t="s">
        <v>12</v>
      </c>
      <c r="C20" s="169"/>
      <c r="D20" s="169"/>
      <c r="E20" s="169"/>
    </row>
    <row r="21" spans="2:5" ht="66" customHeight="1" x14ac:dyDescent="0.35">
      <c r="B21" s="178" t="s">
        <v>13</v>
      </c>
      <c r="C21" s="169"/>
      <c r="D21" s="168" t="s">
        <v>14</v>
      </c>
      <c r="E21" s="169"/>
    </row>
    <row r="22" spans="2:5" ht="9.75" customHeight="1" x14ac:dyDescent="0.35"/>
    <row r="23" spans="2:5" ht="24" customHeight="1" x14ac:dyDescent="0.35">
      <c r="B23" s="177" t="s">
        <v>15</v>
      </c>
      <c r="C23" s="169"/>
      <c r="D23" s="169"/>
      <c r="E23" s="169"/>
    </row>
    <row r="24" spans="2:5" ht="6" customHeight="1" x14ac:dyDescent="0.35">
      <c r="B24" s="3"/>
      <c r="C24" s="3"/>
      <c r="D24" s="3"/>
      <c r="E24" s="3"/>
    </row>
  </sheetData>
  <mergeCells count="16">
    <mergeCell ref="B3:E3"/>
    <mergeCell ref="B20:E20"/>
    <mergeCell ref="C15:E15"/>
    <mergeCell ref="C12:E12"/>
    <mergeCell ref="B15:B16"/>
    <mergeCell ref="C10:E10"/>
    <mergeCell ref="B4:E4"/>
    <mergeCell ref="B12:B13"/>
    <mergeCell ref="D21:E21"/>
    <mergeCell ref="C9:E9"/>
    <mergeCell ref="B7:E7"/>
    <mergeCell ref="C16:E16"/>
    <mergeCell ref="B23:E23"/>
    <mergeCell ref="B21:C21"/>
    <mergeCell ref="B9:B10"/>
    <mergeCell ref="C13:E13"/>
  </mergeCells>
  <pageMargins left="0.75" right="0.75" top="1" bottom="1" header="0.511811023622047" footer="0.51180555555555596"/>
  <pageSetup paperSize="9" orientation="portrait" horizontalDpi="300" verticalDpi="300"/>
  <headerFooter>
    <oddFooter>&amp;C&amp;8 &amp;K888888© 2025 Rabiga Sagyndykova · LOLA System · Resale and redistribution prohibited&amp;R&amp;8 Стр. &amp;P из 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>
    <tabColor rgb="FFFFFF00"/>
  </sheetPr>
  <dimension ref="B22"/>
  <sheetViews>
    <sheetView topLeftCell="A16" zoomScaleNormal="100" workbookViewId="0">
      <selection activeCell="C14" sqref="C14"/>
    </sheetView>
  </sheetViews>
  <sheetFormatPr defaultColWidth="8.7265625" defaultRowHeight="14.5" x14ac:dyDescent="0.35"/>
  <sheetData>
    <row r="22" spans="2:2" ht="15" customHeight="1" x14ac:dyDescent="0.35">
      <c r="B22" s="71"/>
    </row>
  </sheetData>
  <sheetProtection algorithmName="SHA-512" hashValue="etF5k1Z1TF4CiIHyk88vL+mOLt6p5a7ovd+u2lpsx1UqnIiNYGGrl4/B5hz4aQ3P/fnM+CM16fIts8IEqRGOIA==" saltValue="NhTc47+PAgtc+2+42DNg3A==" spinCount="100000" sheet="1" objects="1" scenarios="1" selectLockedCells="1" selectUnlockedCells="1"/>
  <pageMargins left="0.75" right="0.75" top="1" bottom="1" header="0.511811023622047" footer="0.51180555555555596"/>
  <pageSetup paperSize="9" orientation="portrait" horizontalDpi="300" verticalDpi="300"/>
  <headerFooter>
    <oddFooter>&amp;C&amp;8 &amp;K888888© 2025 Rabiga Sagyndykova · LOLA System · Resale and redistribution prohibited&amp;R&amp;8 Стр. &amp;P из &amp;N</oddFooter>
  </headerFooter>
  <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>
    <tabColor rgb="FF403152"/>
  </sheetPr>
  <dimension ref="A1:D166"/>
  <sheetViews>
    <sheetView topLeftCell="A14" zoomScaleNormal="100" workbookViewId="0">
      <selection activeCell="A14" sqref="A1:D166"/>
    </sheetView>
  </sheetViews>
  <sheetFormatPr defaultColWidth="9.1796875" defaultRowHeight="13" x14ac:dyDescent="0.35"/>
  <cols>
    <col min="1" max="1" width="15.7265625" style="72" customWidth="1"/>
    <col min="2" max="2" width="9.1796875" style="72" customWidth="1"/>
    <col min="3" max="3" width="21.81640625" style="72" customWidth="1"/>
    <col min="4" max="4" width="21" style="72" customWidth="1"/>
    <col min="5" max="5" width="9.1796875" style="72" customWidth="1"/>
    <col min="6" max="16384" width="9.1796875" style="72"/>
  </cols>
  <sheetData>
    <row r="1" spans="1:4" ht="12.75" customHeight="1" thickBot="1" x14ac:dyDescent="0.4">
      <c r="A1" s="73" t="s">
        <v>59</v>
      </c>
      <c r="B1" s="72" t="s">
        <v>246</v>
      </c>
      <c r="C1" s="72" t="s">
        <v>253</v>
      </c>
      <c r="D1" s="72" t="s">
        <v>254</v>
      </c>
    </row>
    <row r="2" spans="1:4" ht="12.75" customHeight="1" thickBot="1" x14ac:dyDescent="0.4">
      <c r="A2" s="73" t="s">
        <v>29</v>
      </c>
      <c r="B2" s="72" t="s">
        <v>346</v>
      </c>
      <c r="C2" s="79" t="s">
        <v>347</v>
      </c>
      <c r="D2" s="79" t="s">
        <v>348</v>
      </c>
    </row>
    <row r="3" spans="1:4" ht="12.75" customHeight="1" thickBot="1" x14ac:dyDescent="0.4">
      <c r="A3" s="73" t="s">
        <v>29</v>
      </c>
      <c r="B3" s="72" t="s">
        <v>346</v>
      </c>
      <c r="C3" s="94" t="s">
        <v>349</v>
      </c>
      <c r="D3" s="94" t="s">
        <v>350</v>
      </c>
    </row>
    <row r="4" spans="1:4" ht="12.75" customHeight="1" thickBot="1" x14ac:dyDescent="0.4">
      <c r="A4" s="73" t="s">
        <v>29</v>
      </c>
      <c r="B4" s="72" t="s">
        <v>346</v>
      </c>
      <c r="C4" s="95" t="s">
        <v>351</v>
      </c>
      <c r="D4" s="95" t="s">
        <v>352</v>
      </c>
    </row>
    <row r="5" spans="1:4" ht="12.75" customHeight="1" thickBot="1" x14ac:dyDescent="0.4">
      <c r="A5" s="73" t="s">
        <v>29</v>
      </c>
      <c r="B5" s="72" t="s">
        <v>346</v>
      </c>
      <c r="C5" s="94" t="s">
        <v>353</v>
      </c>
      <c r="D5" s="94" t="s">
        <v>354</v>
      </c>
    </row>
    <row r="6" spans="1:4" ht="12.75" customHeight="1" thickBot="1" x14ac:dyDescent="0.4">
      <c r="A6" s="73" t="s">
        <v>29</v>
      </c>
      <c r="B6" s="72" t="s">
        <v>346</v>
      </c>
      <c r="C6" s="95" t="s">
        <v>355</v>
      </c>
      <c r="D6" s="95" t="s">
        <v>356</v>
      </c>
    </row>
    <row r="7" spans="1:4" ht="12.75" customHeight="1" thickBot="1" x14ac:dyDescent="0.4">
      <c r="A7" s="73" t="s">
        <v>29</v>
      </c>
      <c r="B7" s="72" t="s">
        <v>346</v>
      </c>
      <c r="C7" s="94" t="s">
        <v>357</v>
      </c>
      <c r="D7" s="94" t="s">
        <v>358</v>
      </c>
    </row>
    <row r="8" spans="1:4" ht="12.75" customHeight="1" thickBot="1" x14ac:dyDescent="0.4">
      <c r="A8" s="73" t="s">
        <v>29</v>
      </c>
      <c r="B8" s="72" t="s">
        <v>346</v>
      </c>
      <c r="C8" s="95" t="s">
        <v>359</v>
      </c>
      <c r="D8" s="95" t="s">
        <v>360</v>
      </c>
    </row>
    <row r="9" spans="1:4" ht="12.75" customHeight="1" thickBot="1" x14ac:dyDescent="0.4">
      <c r="A9" s="73" t="s">
        <v>29</v>
      </c>
      <c r="B9" s="72" t="s">
        <v>346</v>
      </c>
      <c r="C9" s="94" t="s">
        <v>361</v>
      </c>
      <c r="D9" s="94" t="s">
        <v>362</v>
      </c>
    </row>
    <row r="10" spans="1:4" ht="12.75" customHeight="1" thickBot="1" x14ac:dyDescent="0.4">
      <c r="A10" s="73" t="s">
        <v>29</v>
      </c>
      <c r="B10" s="72" t="s">
        <v>346</v>
      </c>
      <c r="C10" s="95" t="s">
        <v>363</v>
      </c>
      <c r="D10" s="95" t="s">
        <v>364</v>
      </c>
    </row>
    <row r="11" spans="1:4" ht="12.75" customHeight="1" thickBot="1" x14ac:dyDescent="0.4">
      <c r="A11" s="73" t="s">
        <v>29</v>
      </c>
      <c r="B11" s="72" t="s">
        <v>346</v>
      </c>
      <c r="C11" s="94" t="s">
        <v>365</v>
      </c>
      <c r="D11" s="94" t="s">
        <v>366</v>
      </c>
    </row>
    <row r="12" spans="1:4" ht="12.75" customHeight="1" thickBot="1" x14ac:dyDescent="0.4">
      <c r="A12" s="73" t="s">
        <v>29</v>
      </c>
      <c r="B12" s="72" t="s">
        <v>367</v>
      </c>
      <c r="C12" s="95" t="s">
        <v>368</v>
      </c>
      <c r="D12" s="95" t="s">
        <v>369</v>
      </c>
    </row>
    <row r="13" spans="1:4" ht="12.75" customHeight="1" thickBot="1" x14ac:dyDescent="0.4">
      <c r="A13" s="73" t="s">
        <v>29</v>
      </c>
      <c r="B13" s="72" t="s">
        <v>367</v>
      </c>
      <c r="C13" s="94" t="s">
        <v>370</v>
      </c>
      <c r="D13" s="94" t="s">
        <v>371</v>
      </c>
    </row>
    <row r="14" spans="1:4" ht="12.75" customHeight="1" thickBot="1" x14ac:dyDescent="0.4">
      <c r="A14" s="73" t="s">
        <v>29</v>
      </c>
      <c r="B14" s="72" t="s">
        <v>367</v>
      </c>
      <c r="C14" s="95" t="s">
        <v>370</v>
      </c>
      <c r="D14" s="95" t="s">
        <v>362</v>
      </c>
    </row>
    <row r="15" spans="1:4" ht="12.75" customHeight="1" thickBot="1" x14ac:dyDescent="0.4">
      <c r="A15" s="73" t="s">
        <v>29</v>
      </c>
      <c r="B15" s="72" t="s">
        <v>367</v>
      </c>
      <c r="C15" s="94" t="s">
        <v>372</v>
      </c>
      <c r="D15" s="94" t="s">
        <v>373</v>
      </c>
    </row>
    <row r="16" spans="1:4" ht="12.75" customHeight="1" thickBot="1" x14ac:dyDescent="0.4">
      <c r="A16" s="73" t="s">
        <v>29</v>
      </c>
      <c r="B16" s="72" t="s">
        <v>367</v>
      </c>
      <c r="C16" s="95" t="s">
        <v>374</v>
      </c>
      <c r="D16" s="95" t="s">
        <v>375</v>
      </c>
    </row>
    <row r="17" spans="1:4" ht="12.75" customHeight="1" thickBot="1" x14ac:dyDescent="0.4">
      <c r="A17" s="73" t="s">
        <v>29</v>
      </c>
      <c r="B17" s="72" t="s">
        <v>367</v>
      </c>
      <c r="C17" s="94" t="s">
        <v>376</v>
      </c>
      <c r="D17" s="94" t="s">
        <v>377</v>
      </c>
    </row>
    <row r="18" spans="1:4" ht="12.75" customHeight="1" thickBot="1" x14ac:dyDescent="0.4">
      <c r="A18" s="73" t="s">
        <v>29</v>
      </c>
      <c r="B18" s="72" t="s">
        <v>367</v>
      </c>
      <c r="C18" s="95" t="s">
        <v>378</v>
      </c>
      <c r="D18" s="95" t="s">
        <v>379</v>
      </c>
    </row>
    <row r="19" spans="1:4" ht="12.75" customHeight="1" thickBot="1" x14ac:dyDescent="0.4">
      <c r="A19" s="73" t="s">
        <v>29</v>
      </c>
      <c r="B19" s="72" t="s">
        <v>367</v>
      </c>
      <c r="C19" s="94" t="s">
        <v>380</v>
      </c>
      <c r="D19" s="94" t="s">
        <v>381</v>
      </c>
    </row>
    <row r="20" spans="1:4" ht="12.75" customHeight="1" thickBot="1" x14ac:dyDescent="0.4">
      <c r="A20" s="73" t="s">
        <v>29</v>
      </c>
      <c r="B20" s="72" t="s">
        <v>367</v>
      </c>
      <c r="C20" s="95" t="s">
        <v>382</v>
      </c>
      <c r="D20" s="95" t="s">
        <v>383</v>
      </c>
    </row>
    <row r="21" spans="1:4" ht="12.75" customHeight="1" thickBot="1" x14ac:dyDescent="0.4">
      <c r="A21" s="73" t="s">
        <v>29</v>
      </c>
      <c r="B21" s="72" t="s">
        <v>367</v>
      </c>
      <c r="C21" s="94" t="s">
        <v>384</v>
      </c>
      <c r="D21" s="94" t="s">
        <v>385</v>
      </c>
    </row>
    <row r="22" spans="1:4" ht="12.75" customHeight="1" thickBot="1" x14ac:dyDescent="0.4">
      <c r="A22" s="73" t="s">
        <v>29</v>
      </c>
      <c r="B22" s="72" t="s">
        <v>386</v>
      </c>
      <c r="C22" s="95" t="s">
        <v>387</v>
      </c>
      <c r="D22" s="95" t="s">
        <v>388</v>
      </c>
    </row>
    <row r="23" spans="1:4" ht="12.75" customHeight="1" thickBot="1" x14ac:dyDescent="0.4">
      <c r="A23" s="73" t="s">
        <v>29</v>
      </c>
      <c r="B23" s="72" t="s">
        <v>386</v>
      </c>
      <c r="C23" s="94" t="s">
        <v>389</v>
      </c>
      <c r="D23" s="94" t="s">
        <v>390</v>
      </c>
    </row>
    <row r="24" spans="1:4" ht="12.75" customHeight="1" thickBot="1" x14ac:dyDescent="0.4">
      <c r="A24" s="73" t="s">
        <v>29</v>
      </c>
      <c r="B24" s="72" t="s">
        <v>386</v>
      </c>
      <c r="C24" s="95" t="s">
        <v>391</v>
      </c>
      <c r="D24" s="95" t="s">
        <v>392</v>
      </c>
    </row>
    <row r="25" spans="1:4" ht="12.75" customHeight="1" thickBot="1" x14ac:dyDescent="0.4">
      <c r="A25" s="73" t="s">
        <v>29</v>
      </c>
      <c r="B25" s="72" t="s">
        <v>386</v>
      </c>
      <c r="C25" s="94" t="s">
        <v>393</v>
      </c>
      <c r="D25" s="94" t="s">
        <v>394</v>
      </c>
    </row>
    <row r="26" spans="1:4" ht="12.75" customHeight="1" thickBot="1" x14ac:dyDescent="0.4">
      <c r="A26" s="73" t="s">
        <v>29</v>
      </c>
      <c r="B26" s="72" t="s">
        <v>386</v>
      </c>
      <c r="C26" s="95" t="s">
        <v>395</v>
      </c>
      <c r="D26" s="95" t="s">
        <v>396</v>
      </c>
    </row>
    <row r="27" spans="1:4" ht="12.75" customHeight="1" thickBot="1" x14ac:dyDescent="0.4">
      <c r="A27" s="73" t="s">
        <v>29</v>
      </c>
      <c r="B27" s="72" t="s">
        <v>386</v>
      </c>
      <c r="C27" s="94" t="s">
        <v>397</v>
      </c>
      <c r="D27" s="94" t="s">
        <v>398</v>
      </c>
    </row>
    <row r="28" spans="1:4" ht="12.75" customHeight="1" thickBot="1" x14ac:dyDescent="0.4">
      <c r="A28" s="73" t="s">
        <v>29</v>
      </c>
      <c r="B28" s="72" t="s">
        <v>386</v>
      </c>
      <c r="C28" s="95" t="s">
        <v>399</v>
      </c>
      <c r="D28" s="95" t="s">
        <v>392</v>
      </c>
    </row>
    <row r="29" spans="1:4" ht="12.75" customHeight="1" thickBot="1" x14ac:dyDescent="0.4">
      <c r="A29" s="73" t="s">
        <v>29</v>
      </c>
      <c r="B29" s="72" t="s">
        <v>386</v>
      </c>
      <c r="C29" s="94" t="s">
        <v>400</v>
      </c>
      <c r="D29" s="94" t="s">
        <v>401</v>
      </c>
    </row>
    <row r="30" spans="1:4" ht="12.75" customHeight="1" thickBot="1" x14ac:dyDescent="0.4">
      <c r="A30" s="73" t="s">
        <v>29</v>
      </c>
      <c r="B30" s="72" t="s">
        <v>386</v>
      </c>
      <c r="C30" s="95" t="s">
        <v>402</v>
      </c>
      <c r="D30" s="95" t="s">
        <v>403</v>
      </c>
    </row>
    <row r="31" spans="1:4" ht="12.75" customHeight="1" thickBot="1" x14ac:dyDescent="0.4">
      <c r="A31" s="73" t="s">
        <v>29</v>
      </c>
      <c r="B31" s="72" t="s">
        <v>386</v>
      </c>
      <c r="C31" s="94" t="s">
        <v>404</v>
      </c>
      <c r="D31" s="94" t="s">
        <v>379</v>
      </c>
    </row>
    <row r="32" spans="1:4" ht="13.5" customHeight="1" thickBot="1" x14ac:dyDescent="0.4">
      <c r="A32" s="73" t="s">
        <v>30</v>
      </c>
      <c r="B32" s="72" t="s">
        <v>346</v>
      </c>
      <c r="C32" s="79" t="s">
        <v>405</v>
      </c>
      <c r="D32" s="79" t="s">
        <v>406</v>
      </c>
    </row>
    <row r="33" spans="1:4" ht="13.5" customHeight="1" thickBot="1" x14ac:dyDescent="0.4">
      <c r="A33" s="73" t="s">
        <v>30</v>
      </c>
      <c r="B33" s="72" t="s">
        <v>346</v>
      </c>
      <c r="C33" s="94" t="s">
        <v>407</v>
      </c>
      <c r="D33" s="94" t="s">
        <v>408</v>
      </c>
    </row>
    <row r="34" spans="1:4" ht="15.75" customHeight="1" thickBot="1" x14ac:dyDescent="0.4">
      <c r="A34" s="73" t="s">
        <v>30</v>
      </c>
      <c r="B34" s="72" t="s">
        <v>346</v>
      </c>
      <c r="C34" s="95" t="s">
        <v>409</v>
      </c>
      <c r="D34" s="95" t="s">
        <v>410</v>
      </c>
    </row>
    <row r="35" spans="1:4" ht="13.5" customHeight="1" thickBot="1" x14ac:dyDescent="0.4">
      <c r="A35" s="73" t="s">
        <v>30</v>
      </c>
      <c r="B35" s="72" t="s">
        <v>346</v>
      </c>
      <c r="C35" s="94" t="s">
        <v>411</v>
      </c>
      <c r="D35" s="94" t="s">
        <v>412</v>
      </c>
    </row>
    <row r="36" spans="1:4" ht="10.5" customHeight="1" thickBot="1" x14ac:dyDescent="0.4">
      <c r="A36" s="73" t="s">
        <v>30</v>
      </c>
      <c r="B36" s="72" t="s">
        <v>346</v>
      </c>
      <c r="C36" s="95" t="s">
        <v>413</v>
      </c>
      <c r="D36" s="95" t="s">
        <v>414</v>
      </c>
    </row>
    <row r="37" spans="1:4" ht="13.5" customHeight="1" thickBot="1" x14ac:dyDescent="0.4">
      <c r="A37" s="73" t="s">
        <v>30</v>
      </c>
      <c r="B37" s="72" t="s">
        <v>346</v>
      </c>
      <c r="C37" s="94" t="s">
        <v>415</v>
      </c>
      <c r="D37" s="94" t="s">
        <v>414</v>
      </c>
    </row>
    <row r="38" spans="1:4" ht="16.5" customHeight="1" thickBot="1" x14ac:dyDescent="0.4">
      <c r="A38" s="73" t="s">
        <v>30</v>
      </c>
      <c r="B38" s="72" t="s">
        <v>346</v>
      </c>
      <c r="C38" s="95" t="s">
        <v>416</v>
      </c>
      <c r="D38" s="95" t="s">
        <v>417</v>
      </c>
    </row>
    <row r="39" spans="1:4" ht="15.75" customHeight="1" thickBot="1" x14ac:dyDescent="0.4">
      <c r="A39" s="73" t="s">
        <v>30</v>
      </c>
      <c r="B39" s="72" t="s">
        <v>346</v>
      </c>
      <c r="C39" s="94" t="s">
        <v>418</v>
      </c>
      <c r="D39" s="94" t="s">
        <v>406</v>
      </c>
    </row>
    <row r="40" spans="1:4" ht="14.25" customHeight="1" thickBot="1" x14ac:dyDescent="0.4">
      <c r="A40" s="73" t="s">
        <v>30</v>
      </c>
      <c r="B40" s="72" t="s">
        <v>346</v>
      </c>
      <c r="C40" s="95" t="s">
        <v>419</v>
      </c>
      <c r="D40" s="95" t="s">
        <v>420</v>
      </c>
    </row>
    <row r="41" spans="1:4" ht="15.75" customHeight="1" thickBot="1" x14ac:dyDescent="0.4">
      <c r="A41" s="73" t="s">
        <v>30</v>
      </c>
      <c r="B41" s="72" t="s">
        <v>346</v>
      </c>
      <c r="C41" s="94" t="s">
        <v>421</v>
      </c>
      <c r="D41" s="94" t="s">
        <v>422</v>
      </c>
    </row>
    <row r="42" spans="1:4" ht="15.75" customHeight="1" thickBot="1" x14ac:dyDescent="0.4">
      <c r="A42" s="73" t="s">
        <v>30</v>
      </c>
      <c r="B42" s="72" t="s">
        <v>367</v>
      </c>
      <c r="C42" s="95" t="s">
        <v>118</v>
      </c>
      <c r="D42" s="95" t="s">
        <v>423</v>
      </c>
    </row>
    <row r="43" spans="1:4" ht="18" customHeight="1" thickBot="1" x14ac:dyDescent="0.4">
      <c r="A43" s="73" t="s">
        <v>30</v>
      </c>
      <c r="B43" s="72" t="s">
        <v>367</v>
      </c>
      <c r="C43" s="94" t="s">
        <v>424</v>
      </c>
      <c r="D43" s="94" t="s">
        <v>406</v>
      </c>
    </row>
    <row r="44" spans="1:4" ht="15" customHeight="1" thickBot="1" x14ac:dyDescent="0.4">
      <c r="A44" s="73" t="s">
        <v>30</v>
      </c>
      <c r="B44" s="72" t="s">
        <v>367</v>
      </c>
      <c r="C44" s="95" t="s">
        <v>425</v>
      </c>
      <c r="D44" s="95" t="s">
        <v>426</v>
      </c>
    </row>
    <row r="45" spans="1:4" ht="15.75" customHeight="1" thickBot="1" x14ac:dyDescent="0.4">
      <c r="A45" s="73" t="s">
        <v>30</v>
      </c>
      <c r="B45" s="72" t="s">
        <v>367</v>
      </c>
      <c r="C45" s="94" t="s">
        <v>427</v>
      </c>
      <c r="D45" s="94" t="s">
        <v>428</v>
      </c>
    </row>
    <row r="46" spans="1:4" ht="14.25" customHeight="1" thickBot="1" x14ac:dyDescent="0.4">
      <c r="A46" s="73" t="s">
        <v>30</v>
      </c>
      <c r="B46" s="72" t="s">
        <v>367</v>
      </c>
      <c r="C46" s="95" t="s">
        <v>429</v>
      </c>
      <c r="D46" s="95" t="s">
        <v>420</v>
      </c>
    </row>
    <row r="47" spans="1:4" ht="14.25" customHeight="1" thickBot="1" x14ac:dyDescent="0.4">
      <c r="A47" s="73" t="s">
        <v>30</v>
      </c>
      <c r="B47" s="72" t="s">
        <v>367</v>
      </c>
      <c r="C47" s="94" t="s">
        <v>430</v>
      </c>
      <c r="D47" s="94" t="s">
        <v>431</v>
      </c>
    </row>
    <row r="48" spans="1:4" ht="17.25" customHeight="1" thickBot="1" x14ac:dyDescent="0.4">
      <c r="A48" s="73" t="s">
        <v>30</v>
      </c>
      <c r="B48" s="72" t="s">
        <v>367</v>
      </c>
      <c r="C48" s="95" t="s">
        <v>432</v>
      </c>
      <c r="D48" s="95" t="s">
        <v>420</v>
      </c>
    </row>
    <row r="49" spans="1:4" ht="14.25" customHeight="1" thickBot="1" x14ac:dyDescent="0.4">
      <c r="A49" s="73" t="s">
        <v>30</v>
      </c>
      <c r="B49" s="72" t="s">
        <v>367</v>
      </c>
      <c r="C49" s="94" t="s">
        <v>433</v>
      </c>
      <c r="D49" s="94" t="s">
        <v>434</v>
      </c>
    </row>
    <row r="50" spans="1:4" ht="15.75" customHeight="1" thickBot="1" x14ac:dyDescent="0.4">
      <c r="A50" s="73" t="s">
        <v>30</v>
      </c>
      <c r="B50" s="72" t="s">
        <v>367</v>
      </c>
      <c r="C50" s="95" t="s">
        <v>435</v>
      </c>
      <c r="D50" s="95" t="s">
        <v>436</v>
      </c>
    </row>
    <row r="51" spans="1:4" ht="15.75" customHeight="1" thickBot="1" x14ac:dyDescent="0.4">
      <c r="A51" s="73" t="s">
        <v>30</v>
      </c>
      <c r="B51" s="72" t="s">
        <v>367</v>
      </c>
      <c r="C51" s="94" t="s">
        <v>437</v>
      </c>
      <c r="D51" s="94" t="s">
        <v>438</v>
      </c>
    </row>
    <row r="52" spans="1:4" ht="18" customHeight="1" thickBot="1" x14ac:dyDescent="0.4">
      <c r="A52" s="73" t="s">
        <v>30</v>
      </c>
      <c r="B52" s="72" t="s">
        <v>386</v>
      </c>
      <c r="C52" s="95" t="s">
        <v>439</v>
      </c>
      <c r="D52" s="95" t="s">
        <v>440</v>
      </c>
    </row>
    <row r="53" spans="1:4" ht="15.75" customHeight="1" thickBot="1" x14ac:dyDescent="0.4">
      <c r="A53" s="73" t="s">
        <v>30</v>
      </c>
      <c r="B53" s="72" t="s">
        <v>386</v>
      </c>
      <c r="C53" s="94" t="s">
        <v>441</v>
      </c>
      <c r="D53" s="94" t="s">
        <v>442</v>
      </c>
    </row>
    <row r="54" spans="1:4" ht="13.5" customHeight="1" thickBot="1" x14ac:dyDescent="0.4">
      <c r="A54" s="73" t="s">
        <v>30</v>
      </c>
      <c r="B54" s="72" t="s">
        <v>386</v>
      </c>
      <c r="C54" s="95" t="s">
        <v>443</v>
      </c>
      <c r="D54" s="95" t="s">
        <v>444</v>
      </c>
    </row>
    <row r="55" spans="1:4" ht="10.5" customHeight="1" thickBot="1" x14ac:dyDescent="0.4">
      <c r="A55" s="73" t="s">
        <v>30</v>
      </c>
      <c r="B55" s="72" t="s">
        <v>386</v>
      </c>
      <c r="C55" s="94" t="s">
        <v>445</v>
      </c>
      <c r="D55" s="94" t="s">
        <v>446</v>
      </c>
    </row>
    <row r="56" spans="1:4" ht="13.5" customHeight="1" thickBot="1" x14ac:dyDescent="0.4">
      <c r="A56" s="73" t="s">
        <v>30</v>
      </c>
      <c r="B56" s="72" t="s">
        <v>386</v>
      </c>
      <c r="C56" s="95" t="s">
        <v>447</v>
      </c>
      <c r="D56" s="95" t="s">
        <v>448</v>
      </c>
    </row>
    <row r="57" spans="1:4" ht="15" customHeight="1" thickBot="1" x14ac:dyDescent="0.4">
      <c r="A57" s="73" t="s">
        <v>30</v>
      </c>
      <c r="B57" s="72" t="s">
        <v>386</v>
      </c>
      <c r="C57" s="94" t="s">
        <v>449</v>
      </c>
      <c r="D57" s="94" t="s">
        <v>396</v>
      </c>
    </row>
    <row r="58" spans="1:4" ht="16.5" customHeight="1" thickBot="1" x14ac:dyDescent="0.4">
      <c r="A58" s="73" t="s">
        <v>30</v>
      </c>
      <c r="B58" s="72" t="s">
        <v>386</v>
      </c>
      <c r="C58" s="95" t="s">
        <v>450</v>
      </c>
      <c r="D58" s="95" t="s">
        <v>428</v>
      </c>
    </row>
    <row r="59" spans="1:4" ht="15.75" customHeight="1" thickBot="1" x14ac:dyDescent="0.4">
      <c r="A59" s="73" t="s">
        <v>30</v>
      </c>
      <c r="B59" s="72" t="s">
        <v>386</v>
      </c>
      <c r="C59" s="94" t="s">
        <v>118</v>
      </c>
      <c r="D59" s="94" t="s">
        <v>451</v>
      </c>
    </row>
    <row r="60" spans="1:4" ht="12.75" customHeight="1" thickBot="1" x14ac:dyDescent="0.4">
      <c r="A60" s="73" t="s">
        <v>30</v>
      </c>
      <c r="B60" s="72" t="s">
        <v>386</v>
      </c>
      <c r="C60" s="95" t="s">
        <v>452</v>
      </c>
      <c r="D60" s="95" t="s">
        <v>453</v>
      </c>
    </row>
    <row r="61" spans="1:4" ht="15" customHeight="1" thickBot="1" x14ac:dyDescent="0.4">
      <c r="A61" s="73" t="s">
        <v>30</v>
      </c>
      <c r="B61" s="72" t="s">
        <v>386</v>
      </c>
      <c r="C61" s="94" t="s">
        <v>454</v>
      </c>
      <c r="D61" s="94" t="s">
        <v>455</v>
      </c>
    </row>
    <row r="62" spans="1:4" ht="12.75" customHeight="1" thickBot="1" x14ac:dyDescent="0.4">
      <c r="A62" s="73" t="s">
        <v>31</v>
      </c>
      <c r="B62" s="72" t="s">
        <v>346</v>
      </c>
      <c r="C62" s="79" t="s">
        <v>456</v>
      </c>
      <c r="D62" s="79" t="s">
        <v>457</v>
      </c>
    </row>
    <row r="63" spans="1:4" ht="12.75" customHeight="1" thickBot="1" x14ac:dyDescent="0.4">
      <c r="A63" s="73" t="s">
        <v>31</v>
      </c>
      <c r="B63" s="72" t="s">
        <v>346</v>
      </c>
      <c r="C63" s="94" t="s">
        <v>458</v>
      </c>
      <c r="D63" s="94" t="s">
        <v>459</v>
      </c>
    </row>
    <row r="64" spans="1:4" ht="12.75" customHeight="1" thickBot="1" x14ac:dyDescent="0.4">
      <c r="A64" s="73" t="s">
        <v>31</v>
      </c>
      <c r="B64" s="72" t="s">
        <v>346</v>
      </c>
      <c r="C64" s="95" t="s">
        <v>460</v>
      </c>
      <c r="D64" s="95" t="s">
        <v>461</v>
      </c>
    </row>
    <row r="65" spans="1:4" ht="12.75" customHeight="1" thickBot="1" x14ac:dyDescent="0.4">
      <c r="A65" s="73" t="s">
        <v>31</v>
      </c>
      <c r="B65" s="72" t="s">
        <v>346</v>
      </c>
      <c r="C65" s="94" t="s">
        <v>462</v>
      </c>
      <c r="D65" s="94" t="s">
        <v>463</v>
      </c>
    </row>
    <row r="66" spans="1:4" ht="12.75" customHeight="1" thickBot="1" x14ac:dyDescent="0.4">
      <c r="A66" s="73" t="s">
        <v>31</v>
      </c>
      <c r="B66" s="72" t="s">
        <v>346</v>
      </c>
      <c r="C66" s="95" t="s">
        <v>464</v>
      </c>
      <c r="D66" s="95" t="s">
        <v>465</v>
      </c>
    </row>
    <row r="67" spans="1:4" ht="12.75" customHeight="1" thickBot="1" x14ac:dyDescent="0.4">
      <c r="A67" s="73" t="s">
        <v>31</v>
      </c>
      <c r="B67" s="72" t="s">
        <v>346</v>
      </c>
      <c r="C67" s="94" t="s">
        <v>466</v>
      </c>
      <c r="D67" s="94" t="s">
        <v>467</v>
      </c>
    </row>
    <row r="68" spans="1:4" ht="12.75" customHeight="1" thickBot="1" x14ac:dyDescent="0.4">
      <c r="A68" s="73" t="s">
        <v>31</v>
      </c>
      <c r="B68" s="72" t="s">
        <v>346</v>
      </c>
      <c r="C68" s="95" t="s">
        <v>468</v>
      </c>
      <c r="D68" s="95" t="s">
        <v>469</v>
      </c>
    </row>
    <row r="69" spans="1:4" ht="12.75" customHeight="1" thickBot="1" x14ac:dyDescent="0.4">
      <c r="A69" s="73" t="s">
        <v>31</v>
      </c>
      <c r="B69" s="72" t="s">
        <v>346</v>
      </c>
      <c r="C69" s="94" t="s">
        <v>470</v>
      </c>
      <c r="D69" s="94" t="s">
        <v>471</v>
      </c>
    </row>
    <row r="70" spans="1:4" ht="12.75" customHeight="1" thickBot="1" x14ac:dyDescent="0.4">
      <c r="A70" s="73" t="s">
        <v>31</v>
      </c>
      <c r="B70" s="72" t="s">
        <v>346</v>
      </c>
      <c r="C70" s="95" t="s">
        <v>472</v>
      </c>
      <c r="D70" s="95" t="s">
        <v>473</v>
      </c>
    </row>
    <row r="71" spans="1:4" ht="12.75" customHeight="1" thickBot="1" x14ac:dyDescent="0.4">
      <c r="A71" s="73" t="s">
        <v>31</v>
      </c>
      <c r="B71" s="72" t="s">
        <v>346</v>
      </c>
      <c r="C71" s="94" t="s">
        <v>474</v>
      </c>
      <c r="D71" s="94" t="s">
        <v>475</v>
      </c>
    </row>
    <row r="72" spans="1:4" ht="12.75" customHeight="1" thickBot="1" x14ac:dyDescent="0.4">
      <c r="A72" s="73" t="s">
        <v>31</v>
      </c>
      <c r="B72" s="72" t="s">
        <v>367</v>
      </c>
      <c r="C72" s="95" t="s">
        <v>476</v>
      </c>
      <c r="D72" s="95" t="s">
        <v>477</v>
      </c>
    </row>
    <row r="73" spans="1:4" ht="12.75" customHeight="1" thickBot="1" x14ac:dyDescent="0.4">
      <c r="A73" s="73" t="s">
        <v>31</v>
      </c>
      <c r="B73" s="72" t="s">
        <v>367</v>
      </c>
      <c r="C73" s="94" t="s">
        <v>478</v>
      </c>
      <c r="D73" s="94" t="s">
        <v>479</v>
      </c>
    </row>
    <row r="74" spans="1:4" ht="12.75" customHeight="1" thickBot="1" x14ac:dyDescent="0.4">
      <c r="A74" s="73" t="s">
        <v>31</v>
      </c>
      <c r="B74" s="72" t="s">
        <v>367</v>
      </c>
      <c r="C74" s="95" t="s">
        <v>480</v>
      </c>
      <c r="D74" s="95" t="s">
        <v>481</v>
      </c>
    </row>
    <row r="75" spans="1:4" ht="12.75" customHeight="1" thickBot="1" x14ac:dyDescent="0.4">
      <c r="A75" s="73" t="s">
        <v>31</v>
      </c>
      <c r="B75" s="72" t="s">
        <v>367</v>
      </c>
      <c r="C75" s="94" t="s">
        <v>482</v>
      </c>
      <c r="D75" s="94" t="s">
        <v>483</v>
      </c>
    </row>
    <row r="76" spans="1:4" ht="12.75" customHeight="1" thickBot="1" x14ac:dyDescent="0.4">
      <c r="A76" s="73" t="s">
        <v>31</v>
      </c>
      <c r="B76" s="72" t="s">
        <v>367</v>
      </c>
      <c r="C76" s="95" t="s">
        <v>484</v>
      </c>
      <c r="D76" s="95" t="s">
        <v>485</v>
      </c>
    </row>
    <row r="77" spans="1:4" ht="12.75" customHeight="1" thickBot="1" x14ac:dyDescent="0.4">
      <c r="A77" s="73" t="s">
        <v>31</v>
      </c>
      <c r="B77" s="72" t="s">
        <v>367</v>
      </c>
      <c r="C77" s="94" t="s">
        <v>486</v>
      </c>
      <c r="D77" s="94" t="s">
        <v>428</v>
      </c>
    </row>
    <row r="78" spans="1:4" ht="12.75" customHeight="1" thickBot="1" x14ac:dyDescent="0.4">
      <c r="A78" s="73" t="s">
        <v>31</v>
      </c>
      <c r="B78" s="72" t="s">
        <v>367</v>
      </c>
      <c r="C78" s="95" t="s">
        <v>487</v>
      </c>
      <c r="D78" s="95" t="s">
        <v>488</v>
      </c>
    </row>
    <row r="79" spans="1:4" ht="12.75" customHeight="1" thickBot="1" x14ac:dyDescent="0.4">
      <c r="A79" s="73" t="s">
        <v>31</v>
      </c>
      <c r="B79" s="72" t="s">
        <v>367</v>
      </c>
      <c r="C79" s="94" t="s">
        <v>489</v>
      </c>
      <c r="D79" s="94" t="s">
        <v>485</v>
      </c>
    </row>
    <row r="80" spans="1:4" ht="12.75" customHeight="1" thickBot="1" x14ac:dyDescent="0.4">
      <c r="A80" s="73" t="s">
        <v>31</v>
      </c>
      <c r="B80" s="72" t="s">
        <v>367</v>
      </c>
      <c r="C80" s="95" t="s">
        <v>490</v>
      </c>
      <c r="D80" s="95" t="s">
        <v>491</v>
      </c>
    </row>
    <row r="81" spans="1:4" ht="12.75" customHeight="1" thickBot="1" x14ac:dyDescent="0.4">
      <c r="A81" s="73" t="s">
        <v>31</v>
      </c>
      <c r="B81" s="72" t="s">
        <v>367</v>
      </c>
      <c r="C81" s="94" t="s">
        <v>492</v>
      </c>
      <c r="D81" s="94" t="s">
        <v>493</v>
      </c>
    </row>
    <row r="82" spans="1:4" ht="12.75" customHeight="1" thickBot="1" x14ac:dyDescent="0.4">
      <c r="A82" s="73" t="s">
        <v>31</v>
      </c>
      <c r="B82" s="72" t="s">
        <v>386</v>
      </c>
      <c r="C82" s="95" t="s">
        <v>494</v>
      </c>
      <c r="D82" s="95" t="s">
        <v>495</v>
      </c>
    </row>
    <row r="83" spans="1:4" ht="12.75" customHeight="1" thickBot="1" x14ac:dyDescent="0.4">
      <c r="A83" s="73" t="s">
        <v>31</v>
      </c>
      <c r="B83" s="72" t="s">
        <v>386</v>
      </c>
      <c r="C83" s="94" t="s">
        <v>496</v>
      </c>
      <c r="D83" s="94" t="s">
        <v>491</v>
      </c>
    </row>
    <row r="84" spans="1:4" ht="12.75" customHeight="1" thickBot="1" x14ac:dyDescent="0.4">
      <c r="A84" s="73" t="s">
        <v>31</v>
      </c>
      <c r="B84" s="72" t="s">
        <v>386</v>
      </c>
      <c r="C84" s="95" t="s">
        <v>497</v>
      </c>
      <c r="D84" s="95" t="s">
        <v>498</v>
      </c>
    </row>
    <row r="85" spans="1:4" ht="12.75" customHeight="1" thickBot="1" x14ac:dyDescent="0.4">
      <c r="A85" s="73" t="s">
        <v>31</v>
      </c>
      <c r="B85" s="72" t="s">
        <v>386</v>
      </c>
      <c r="C85" s="94" t="s">
        <v>499</v>
      </c>
      <c r="D85" s="94" t="s">
        <v>493</v>
      </c>
    </row>
    <row r="86" spans="1:4" ht="12.75" customHeight="1" thickBot="1" x14ac:dyDescent="0.4">
      <c r="A86" s="73" t="s">
        <v>31</v>
      </c>
      <c r="B86" s="72" t="s">
        <v>386</v>
      </c>
      <c r="C86" s="95" t="s">
        <v>500</v>
      </c>
      <c r="D86" s="95" t="s">
        <v>501</v>
      </c>
    </row>
    <row r="87" spans="1:4" ht="12.75" customHeight="1" thickBot="1" x14ac:dyDescent="0.4">
      <c r="A87" s="73" t="s">
        <v>31</v>
      </c>
      <c r="B87" s="72" t="s">
        <v>386</v>
      </c>
      <c r="C87" s="94" t="s">
        <v>502</v>
      </c>
      <c r="D87" s="94" t="s">
        <v>428</v>
      </c>
    </row>
    <row r="88" spans="1:4" ht="12.75" customHeight="1" thickBot="1" x14ac:dyDescent="0.4">
      <c r="A88" s="73" t="s">
        <v>31</v>
      </c>
      <c r="B88" s="72" t="s">
        <v>386</v>
      </c>
      <c r="C88" s="95" t="s">
        <v>503</v>
      </c>
      <c r="D88" s="95" t="s">
        <v>504</v>
      </c>
    </row>
    <row r="89" spans="1:4" ht="12.75" customHeight="1" thickBot="1" x14ac:dyDescent="0.4">
      <c r="A89" s="73" t="s">
        <v>31</v>
      </c>
      <c r="B89" s="72" t="s">
        <v>386</v>
      </c>
      <c r="C89" s="94" t="s">
        <v>505</v>
      </c>
      <c r="D89" s="94" t="s">
        <v>506</v>
      </c>
    </row>
    <row r="90" spans="1:4" ht="12.75" customHeight="1" thickBot="1" x14ac:dyDescent="0.4">
      <c r="A90" s="73" t="s">
        <v>31</v>
      </c>
      <c r="B90" s="72" t="s">
        <v>386</v>
      </c>
      <c r="C90" s="95" t="s">
        <v>507</v>
      </c>
      <c r="D90" s="95" t="s">
        <v>508</v>
      </c>
    </row>
    <row r="91" spans="1:4" ht="12.75" customHeight="1" thickBot="1" x14ac:dyDescent="0.4">
      <c r="A91" s="73" t="s">
        <v>31</v>
      </c>
      <c r="B91" s="72" t="s">
        <v>386</v>
      </c>
      <c r="C91" s="94" t="s">
        <v>509</v>
      </c>
      <c r="D91" s="94" t="s">
        <v>428</v>
      </c>
    </row>
    <row r="92" spans="1:4" ht="12.75" customHeight="1" thickBot="1" x14ac:dyDescent="0.4">
      <c r="A92" s="73" t="s">
        <v>32</v>
      </c>
      <c r="B92" s="72" t="s">
        <v>346</v>
      </c>
      <c r="C92" s="79" t="s">
        <v>510</v>
      </c>
      <c r="D92" s="79" t="s">
        <v>511</v>
      </c>
    </row>
    <row r="93" spans="1:4" ht="12.75" customHeight="1" thickBot="1" x14ac:dyDescent="0.4">
      <c r="A93" s="73" t="s">
        <v>32</v>
      </c>
      <c r="B93" s="72" t="s">
        <v>346</v>
      </c>
      <c r="C93" s="94" t="s">
        <v>512</v>
      </c>
      <c r="D93" s="94" t="s">
        <v>513</v>
      </c>
    </row>
    <row r="94" spans="1:4" ht="12.75" customHeight="1" thickBot="1" x14ac:dyDescent="0.4">
      <c r="A94" s="73" t="s">
        <v>32</v>
      </c>
      <c r="B94" s="72" t="s">
        <v>346</v>
      </c>
      <c r="C94" s="95" t="s">
        <v>514</v>
      </c>
      <c r="D94" s="95" t="s">
        <v>515</v>
      </c>
    </row>
    <row r="95" spans="1:4" ht="12.75" customHeight="1" thickBot="1" x14ac:dyDescent="0.4">
      <c r="A95" s="73" t="s">
        <v>32</v>
      </c>
      <c r="B95" s="72" t="s">
        <v>346</v>
      </c>
      <c r="C95" s="94" t="s">
        <v>516</v>
      </c>
      <c r="D95" s="94" t="s">
        <v>517</v>
      </c>
    </row>
    <row r="96" spans="1:4" ht="12.75" customHeight="1" thickBot="1" x14ac:dyDescent="0.4">
      <c r="A96" s="73" t="s">
        <v>32</v>
      </c>
      <c r="B96" s="72" t="s">
        <v>346</v>
      </c>
      <c r="C96" s="95" t="s">
        <v>518</v>
      </c>
      <c r="D96" s="95" t="s">
        <v>519</v>
      </c>
    </row>
    <row r="97" spans="1:4" ht="12.75" customHeight="1" thickBot="1" x14ac:dyDescent="0.4">
      <c r="A97" s="73" t="s">
        <v>32</v>
      </c>
      <c r="B97" s="72" t="s">
        <v>346</v>
      </c>
      <c r="C97" s="94" t="s">
        <v>520</v>
      </c>
      <c r="D97" s="94" t="s">
        <v>346</v>
      </c>
    </row>
    <row r="98" spans="1:4" ht="12.75" customHeight="1" thickBot="1" x14ac:dyDescent="0.4">
      <c r="A98" s="73" t="s">
        <v>32</v>
      </c>
      <c r="B98" s="72" t="s">
        <v>346</v>
      </c>
      <c r="C98" s="95" t="s">
        <v>521</v>
      </c>
      <c r="D98" s="95" t="s">
        <v>522</v>
      </c>
    </row>
    <row r="99" spans="1:4" ht="12.75" customHeight="1" thickBot="1" x14ac:dyDescent="0.4">
      <c r="A99" s="73" t="s">
        <v>32</v>
      </c>
      <c r="B99" s="72" t="s">
        <v>346</v>
      </c>
      <c r="C99" s="94" t="s">
        <v>523</v>
      </c>
      <c r="D99" s="94" t="s">
        <v>524</v>
      </c>
    </row>
    <row r="100" spans="1:4" ht="12.75" customHeight="1" thickBot="1" x14ac:dyDescent="0.4">
      <c r="A100" s="73" t="s">
        <v>32</v>
      </c>
      <c r="B100" s="72" t="s">
        <v>346</v>
      </c>
      <c r="C100" s="95" t="s">
        <v>525</v>
      </c>
      <c r="D100" s="95" t="s">
        <v>526</v>
      </c>
    </row>
    <row r="101" spans="1:4" ht="12.75" customHeight="1" thickBot="1" x14ac:dyDescent="0.4">
      <c r="A101" s="73" t="s">
        <v>32</v>
      </c>
      <c r="B101" s="72" t="s">
        <v>346</v>
      </c>
      <c r="C101" s="94" t="s">
        <v>527</v>
      </c>
      <c r="D101" s="94" t="s">
        <v>428</v>
      </c>
    </row>
    <row r="102" spans="1:4" ht="12.75" customHeight="1" thickBot="1" x14ac:dyDescent="0.4">
      <c r="A102" s="73" t="s">
        <v>32</v>
      </c>
      <c r="B102" s="72" t="s">
        <v>367</v>
      </c>
      <c r="C102" s="95" t="s">
        <v>528</v>
      </c>
      <c r="D102" s="95" t="s">
        <v>529</v>
      </c>
    </row>
    <row r="103" spans="1:4" ht="12.75" customHeight="1" thickBot="1" x14ac:dyDescent="0.4">
      <c r="A103" s="73" t="s">
        <v>32</v>
      </c>
      <c r="B103" s="72" t="s">
        <v>367</v>
      </c>
      <c r="C103" s="94" t="s">
        <v>530</v>
      </c>
      <c r="D103" s="94" t="s">
        <v>531</v>
      </c>
    </row>
    <row r="104" spans="1:4" ht="12.75" customHeight="1" thickBot="1" x14ac:dyDescent="0.4">
      <c r="A104" s="73" t="s">
        <v>32</v>
      </c>
      <c r="B104" s="72" t="s">
        <v>367</v>
      </c>
      <c r="C104" s="95" t="s">
        <v>532</v>
      </c>
      <c r="D104" s="95" t="s">
        <v>533</v>
      </c>
    </row>
    <row r="105" spans="1:4" ht="12.75" customHeight="1" thickBot="1" x14ac:dyDescent="0.4">
      <c r="A105" s="73" t="s">
        <v>32</v>
      </c>
      <c r="B105" s="72" t="s">
        <v>367</v>
      </c>
      <c r="C105" s="94" t="s">
        <v>534</v>
      </c>
      <c r="D105" s="94" t="s">
        <v>535</v>
      </c>
    </row>
    <row r="106" spans="1:4" ht="12.75" customHeight="1" thickBot="1" x14ac:dyDescent="0.4">
      <c r="A106" s="73" t="s">
        <v>32</v>
      </c>
      <c r="B106" s="72" t="s">
        <v>367</v>
      </c>
      <c r="C106" s="95" t="s">
        <v>536</v>
      </c>
      <c r="D106" s="95" t="s">
        <v>537</v>
      </c>
    </row>
    <row r="107" spans="1:4" ht="12.75" customHeight="1" thickBot="1" x14ac:dyDescent="0.4">
      <c r="A107" s="73" t="s">
        <v>32</v>
      </c>
      <c r="B107" s="72" t="s">
        <v>367</v>
      </c>
      <c r="C107" s="94" t="s">
        <v>538</v>
      </c>
      <c r="D107" s="94" t="s">
        <v>539</v>
      </c>
    </row>
    <row r="108" spans="1:4" ht="12.75" customHeight="1" thickBot="1" x14ac:dyDescent="0.4">
      <c r="A108" s="73" t="s">
        <v>32</v>
      </c>
      <c r="B108" s="72" t="s">
        <v>367</v>
      </c>
      <c r="C108" s="95" t="s">
        <v>540</v>
      </c>
      <c r="D108" s="95" t="s">
        <v>541</v>
      </c>
    </row>
    <row r="109" spans="1:4" ht="12.75" customHeight="1" thickBot="1" x14ac:dyDescent="0.4">
      <c r="A109" s="73" t="s">
        <v>32</v>
      </c>
      <c r="B109" s="72" t="s">
        <v>367</v>
      </c>
      <c r="C109" s="94" t="s">
        <v>542</v>
      </c>
      <c r="D109" s="94" t="s">
        <v>543</v>
      </c>
    </row>
    <row r="110" spans="1:4" ht="12.75" customHeight="1" thickBot="1" x14ac:dyDescent="0.4">
      <c r="A110" s="73" t="s">
        <v>32</v>
      </c>
      <c r="B110" s="72" t="s">
        <v>367</v>
      </c>
      <c r="C110" s="95" t="s">
        <v>544</v>
      </c>
      <c r="D110" s="95" t="s">
        <v>545</v>
      </c>
    </row>
    <row r="111" spans="1:4" ht="12.75" customHeight="1" thickBot="1" x14ac:dyDescent="0.4">
      <c r="A111" s="73" t="s">
        <v>32</v>
      </c>
      <c r="B111" s="72" t="s">
        <v>367</v>
      </c>
      <c r="C111" s="94" t="s">
        <v>546</v>
      </c>
      <c r="D111" s="94" t="s">
        <v>547</v>
      </c>
    </row>
    <row r="112" spans="1:4" ht="12.75" customHeight="1" thickBot="1" x14ac:dyDescent="0.4">
      <c r="A112" s="73" t="s">
        <v>32</v>
      </c>
      <c r="B112" s="72" t="s">
        <v>386</v>
      </c>
      <c r="C112" s="95" t="s">
        <v>548</v>
      </c>
      <c r="D112" s="95" t="s">
        <v>549</v>
      </c>
    </row>
    <row r="113" spans="1:4" ht="12.75" customHeight="1" thickBot="1" x14ac:dyDescent="0.4">
      <c r="A113" s="73" t="s">
        <v>32</v>
      </c>
      <c r="B113" s="72" t="s">
        <v>386</v>
      </c>
      <c r="C113" s="94" t="s">
        <v>550</v>
      </c>
      <c r="D113" s="94" t="s">
        <v>551</v>
      </c>
    </row>
    <row r="114" spans="1:4" ht="12.75" customHeight="1" thickBot="1" x14ac:dyDescent="0.4">
      <c r="A114" s="73" t="s">
        <v>32</v>
      </c>
      <c r="B114" s="72" t="s">
        <v>386</v>
      </c>
      <c r="C114" s="95" t="s">
        <v>552</v>
      </c>
      <c r="D114" s="95" t="s">
        <v>553</v>
      </c>
    </row>
    <row r="115" spans="1:4" ht="12.75" customHeight="1" thickBot="1" x14ac:dyDescent="0.4">
      <c r="A115" s="73" t="s">
        <v>32</v>
      </c>
      <c r="B115" s="72" t="s">
        <v>386</v>
      </c>
      <c r="C115" s="94" t="s">
        <v>554</v>
      </c>
      <c r="D115" s="94" t="s">
        <v>555</v>
      </c>
    </row>
    <row r="116" spans="1:4" ht="12.75" customHeight="1" thickBot="1" x14ac:dyDescent="0.4">
      <c r="A116" s="73" t="s">
        <v>32</v>
      </c>
      <c r="B116" s="72" t="s">
        <v>386</v>
      </c>
      <c r="C116" s="95" t="s">
        <v>556</v>
      </c>
      <c r="D116" s="95" t="s">
        <v>557</v>
      </c>
    </row>
    <row r="117" spans="1:4" ht="12.75" customHeight="1" thickBot="1" x14ac:dyDescent="0.4">
      <c r="A117" s="73" t="s">
        <v>32</v>
      </c>
      <c r="B117" s="72" t="s">
        <v>386</v>
      </c>
      <c r="C117" s="94" t="s">
        <v>558</v>
      </c>
      <c r="D117" s="94" t="s">
        <v>559</v>
      </c>
    </row>
    <row r="118" spans="1:4" ht="12.75" customHeight="1" thickBot="1" x14ac:dyDescent="0.4">
      <c r="A118" s="73" t="s">
        <v>32</v>
      </c>
      <c r="B118" s="72" t="s">
        <v>386</v>
      </c>
      <c r="C118" s="95" t="s">
        <v>560</v>
      </c>
      <c r="D118" s="95" t="s">
        <v>561</v>
      </c>
    </row>
    <row r="119" spans="1:4" ht="12.75" customHeight="1" thickBot="1" x14ac:dyDescent="0.4">
      <c r="A119" s="73" t="s">
        <v>32</v>
      </c>
      <c r="B119" s="72" t="s">
        <v>386</v>
      </c>
      <c r="C119" s="94" t="s">
        <v>562</v>
      </c>
      <c r="D119" s="94" t="s">
        <v>479</v>
      </c>
    </row>
    <row r="120" spans="1:4" ht="12.75" customHeight="1" thickBot="1" x14ac:dyDescent="0.4">
      <c r="A120" s="73" t="s">
        <v>32</v>
      </c>
      <c r="B120" s="72" t="s">
        <v>386</v>
      </c>
      <c r="C120" s="95" t="s">
        <v>563</v>
      </c>
      <c r="D120" s="95" t="s">
        <v>564</v>
      </c>
    </row>
    <row r="121" spans="1:4" ht="12.75" customHeight="1" thickBot="1" x14ac:dyDescent="0.4">
      <c r="A121" s="73" t="s">
        <v>32</v>
      </c>
      <c r="B121" s="72" t="s">
        <v>386</v>
      </c>
      <c r="C121" s="94" t="s">
        <v>565</v>
      </c>
      <c r="D121" s="94" t="s">
        <v>543</v>
      </c>
    </row>
    <row r="122" spans="1:4" ht="12.75" customHeight="1" thickBot="1" x14ac:dyDescent="0.4">
      <c r="A122" s="73" t="s">
        <v>33</v>
      </c>
      <c r="B122" s="72" t="s">
        <v>346</v>
      </c>
      <c r="C122" s="79" t="s">
        <v>566</v>
      </c>
      <c r="D122" s="79" t="s">
        <v>567</v>
      </c>
    </row>
    <row r="123" spans="1:4" ht="12.75" customHeight="1" thickBot="1" x14ac:dyDescent="0.4">
      <c r="A123" s="73" t="s">
        <v>33</v>
      </c>
      <c r="B123" s="72" t="s">
        <v>346</v>
      </c>
      <c r="C123" s="94" t="s">
        <v>474</v>
      </c>
      <c r="D123" s="94" t="s">
        <v>568</v>
      </c>
    </row>
    <row r="124" spans="1:4" ht="12.75" customHeight="1" thickBot="1" x14ac:dyDescent="0.4">
      <c r="A124" s="73" t="s">
        <v>33</v>
      </c>
      <c r="B124" s="72" t="s">
        <v>346</v>
      </c>
      <c r="C124" s="95" t="s">
        <v>569</v>
      </c>
      <c r="D124" s="95" t="s">
        <v>570</v>
      </c>
    </row>
    <row r="125" spans="1:4" ht="12.75" customHeight="1" thickBot="1" x14ac:dyDescent="0.4">
      <c r="A125" s="73" t="s">
        <v>33</v>
      </c>
      <c r="B125" s="72" t="s">
        <v>346</v>
      </c>
      <c r="C125" s="94" t="s">
        <v>571</v>
      </c>
      <c r="D125" s="94" t="s">
        <v>381</v>
      </c>
    </row>
    <row r="126" spans="1:4" ht="12.75" customHeight="1" thickBot="1" x14ac:dyDescent="0.4">
      <c r="A126" s="73" t="s">
        <v>33</v>
      </c>
      <c r="B126" s="72" t="s">
        <v>346</v>
      </c>
      <c r="C126" s="95" t="s">
        <v>572</v>
      </c>
      <c r="D126" s="95" t="s">
        <v>573</v>
      </c>
    </row>
    <row r="127" spans="1:4" ht="12.75" customHeight="1" thickBot="1" x14ac:dyDescent="0.4">
      <c r="A127" s="73" t="s">
        <v>33</v>
      </c>
      <c r="B127" s="72" t="s">
        <v>367</v>
      </c>
      <c r="C127" s="95" t="s">
        <v>574</v>
      </c>
      <c r="D127" s="95" t="s">
        <v>575</v>
      </c>
    </row>
    <row r="128" spans="1:4" ht="12.75" customHeight="1" thickBot="1" x14ac:dyDescent="0.4">
      <c r="A128" s="73" t="s">
        <v>33</v>
      </c>
      <c r="B128" s="72" t="s">
        <v>367</v>
      </c>
      <c r="C128" s="94" t="s">
        <v>576</v>
      </c>
      <c r="D128" s="94" t="s">
        <v>577</v>
      </c>
    </row>
    <row r="129" spans="1:4" ht="12.75" customHeight="1" thickBot="1" x14ac:dyDescent="0.4">
      <c r="A129" s="73" t="s">
        <v>33</v>
      </c>
      <c r="B129" s="72" t="s">
        <v>367</v>
      </c>
      <c r="C129" s="95" t="s">
        <v>578</v>
      </c>
      <c r="D129" s="95" t="s">
        <v>579</v>
      </c>
    </row>
    <row r="130" spans="1:4" ht="12.75" customHeight="1" thickBot="1" x14ac:dyDescent="0.4">
      <c r="A130" s="73" t="s">
        <v>33</v>
      </c>
      <c r="B130" s="72" t="s">
        <v>367</v>
      </c>
      <c r="C130" s="94" t="s">
        <v>580</v>
      </c>
      <c r="D130" s="94" t="s">
        <v>506</v>
      </c>
    </row>
    <row r="131" spans="1:4" ht="12.75" customHeight="1" thickBot="1" x14ac:dyDescent="0.4">
      <c r="A131" s="73" t="s">
        <v>33</v>
      </c>
      <c r="B131" s="72" t="s">
        <v>367</v>
      </c>
      <c r="C131" s="95" t="s">
        <v>581</v>
      </c>
      <c r="D131" s="95" t="s">
        <v>582</v>
      </c>
    </row>
    <row r="132" spans="1:4" ht="12.75" customHeight="1" thickBot="1" x14ac:dyDescent="0.4">
      <c r="A132" s="73" t="s">
        <v>33</v>
      </c>
      <c r="B132" s="72" t="s">
        <v>386</v>
      </c>
      <c r="C132" s="95" t="s">
        <v>583</v>
      </c>
      <c r="D132" s="95" t="s">
        <v>584</v>
      </c>
    </row>
    <row r="133" spans="1:4" ht="12.75" customHeight="1" thickBot="1" x14ac:dyDescent="0.4">
      <c r="A133" s="73" t="s">
        <v>33</v>
      </c>
      <c r="B133" s="72" t="s">
        <v>386</v>
      </c>
      <c r="C133" s="94" t="s">
        <v>585</v>
      </c>
      <c r="D133" s="94" t="s">
        <v>381</v>
      </c>
    </row>
    <row r="134" spans="1:4" ht="12.75" customHeight="1" thickBot="1" x14ac:dyDescent="0.4">
      <c r="A134" s="73" t="s">
        <v>33</v>
      </c>
      <c r="B134" s="72" t="s">
        <v>386</v>
      </c>
      <c r="C134" s="95" t="s">
        <v>586</v>
      </c>
      <c r="D134" s="95" t="s">
        <v>587</v>
      </c>
    </row>
    <row r="135" spans="1:4" ht="12.75" customHeight="1" thickBot="1" x14ac:dyDescent="0.4">
      <c r="A135" s="73" t="s">
        <v>33</v>
      </c>
      <c r="B135" s="72" t="s">
        <v>386</v>
      </c>
      <c r="C135" s="94" t="s">
        <v>588</v>
      </c>
      <c r="D135" s="94" t="s">
        <v>589</v>
      </c>
    </row>
    <row r="136" spans="1:4" ht="12.75" customHeight="1" thickBot="1" x14ac:dyDescent="0.4">
      <c r="A136" s="73" t="s">
        <v>33</v>
      </c>
      <c r="B136" s="72" t="s">
        <v>386</v>
      </c>
      <c r="C136" s="95" t="s">
        <v>590</v>
      </c>
      <c r="D136" s="95" t="s">
        <v>591</v>
      </c>
    </row>
    <row r="137" spans="1:4" ht="12.75" customHeight="1" thickBot="1" x14ac:dyDescent="0.4">
      <c r="A137" s="73" t="s">
        <v>34</v>
      </c>
      <c r="B137" s="72" t="s">
        <v>346</v>
      </c>
      <c r="C137" s="79" t="s">
        <v>592</v>
      </c>
      <c r="D137" s="79" t="s">
        <v>593</v>
      </c>
    </row>
    <row r="138" spans="1:4" ht="12.75" customHeight="1" thickBot="1" x14ac:dyDescent="0.4">
      <c r="A138" s="73" t="s">
        <v>34</v>
      </c>
      <c r="B138" s="72" t="s">
        <v>346</v>
      </c>
      <c r="C138" s="94" t="s">
        <v>594</v>
      </c>
      <c r="D138" s="94" t="s">
        <v>595</v>
      </c>
    </row>
    <row r="139" spans="1:4" ht="12.75" customHeight="1" thickBot="1" x14ac:dyDescent="0.4">
      <c r="A139" s="73" t="s">
        <v>34</v>
      </c>
      <c r="B139" s="72" t="s">
        <v>346</v>
      </c>
      <c r="C139" s="95" t="s">
        <v>596</v>
      </c>
      <c r="D139" s="95" t="s">
        <v>597</v>
      </c>
    </row>
    <row r="140" spans="1:4" ht="12.75" customHeight="1" thickBot="1" x14ac:dyDescent="0.4">
      <c r="A140" s="73" t="s">
        <v>34</v>
      </c>
      <c r="B140" s="72" t="s">
        <v>346</v>
      </c>
      <c r="C140" s="94" t="s">
        <v>492</v>
      </c>
      <c r="D140" s="94" t="s">
        <v>493</v>
      </c>
    </row>
    <row r="141" spans="1:4" ht="12.75" customHeight="1" thickBot="1" x14ac:dyDescent="0.4">
      <c r="A141" s="73" t="s">
        <v>34</v>
      </c>
      <c r="B141" s="72" t="s">
        <v>346</v>
      </c>
      <c r="C141" s="95" t="s">
        <v>598</v>
      </c>
      <c r="D141" s="95" t="s">
        <v>459</v>
      </c>
    </row>
    <row r="142" spans="1:4" ht="12.75" customHeight="1" thickBot="1" x14ac:dyDescent="0.4">
      <c r="A142" s="73" t="s">
        <v>34</v>
      </c>
      <c r="B142" s="72" t="s">
        <v>367</v>
      </c>
      <c r="C142" s="95" t="s">
        <v>599</v>
      </c>
      <c r="D142" s="95" t="s">
        <v>600</v>
      </c>
    </row>
    <row r="143" spans="1:4" ht="12.75" customHeight="1" thickBot="1" x14ac:dyDescent="0.4">
      <c r="A143" s="73" t="s">
        <v>34</v>
      </c>
      <c r="B143" s="72" t="s">
        <v>367</v>
      </c>
      <c r="C143" s="94" t="s">
        <v>601</v>
      </c>
      <c r="D143" s="94" t="s">
        <v>602</v>
      </c>
    </row>
    <row r="144" spans="1:4" ht="12.75" customHeight="1" thickBot="1" x14ac:dyDescent="0.4">
      <c r="A144" s="73" t="s">
        <v>34</v>
      </c>
      <c r="B144" s="72" t="s">
        <v>367</v>
      </c>
      <c r="C144" s="95" t="s">
        <v>603</v>
      </c>
      <c r="D144" s="95" t="s">
        <v>604</v>
      </c>
    </row>
    <row r="145" spans="1:4" ht="12.75" customHeight="1" thickBot="1" x14ac:dyDescent="0.4">
      <c r="A145" s="73" t="s">
        <v>34</v>
      </c>
      <c r="B145" s="72" t="s">
        <v>367</v>
      </c>
      <c r="C145" s="94" t="s">
        <v>605</v>
      </c>
      <c r="D145" s="94" t="s">
        <v>606</v>
      </c>
    </row>
    <row r="146" spans="1:4" ht="12.75" customHeight="1" thickBot="1" x14ac:dyDescent="0.4">
      <c r="A146" s="73" t="s">
        <v>34</v>
      </c>
      <c r="B146" s="72" t="s">
        <v>367</v>
      </c>
      <c r="C146" s="95" t="s">
        <v>607</v>
      </c>
      <c r="D146" s="95" t="s">
        <v>506</v>
      </c>
    </row>
    <row r="147" spans="1:4" ht="12.75" customHeight="1" thickBot="1" x14ac:dyDescent="0.4">
      <c r="A147" s="73" t="s">
        <v>34</v>
      </c>
      <c r="B147" s="72" t="s">
        <v>386</v>
      </c>
      <c r="C147" s="95" t="s">
        <v>608</v>
      </c>
      <c r="D147" s="95" t="s">
        <v>564</v>
      </c>
    </row>
    <row r="148" spans="1:4" ht="12.75" customHeight="1" thickBot="1" x14ac:dyDescent="0.4">
      <c r="A148" s="73" t="s">
        <v>34</v>
      </c>
      <c r="B148" s="72" t="s">
        <v>386</v>
      </c>
      <c r="C148" s="94" t="s">
        <v>609</v>
      </c>
      <c r="D148" s="94" t="s">
        <v>610</v>
      </c>
    </row>
    <row r="149" spans="1:4" ht="12.75" customHeight="1" thickBot="1" x14ac:dyDescent="0.4">
      <c r="A149" s="73" t="s">
        <v>34</v>
      </c>
      <c r="B149" s="72" t="s">
        <v>386</v>
      </c>
      <c r="C149" s="95" t="s">
        <v>611</v>
      </c>
      <c r="D149" s="95" t="s">
        <v>428</v>
      </c>
    </row>
    <row r="150" spans="1:4" ht="12.75" customHeight="1" thickBot="1" x14ac:dyDescent="0.4">
      <c r="A150" s="73" t="s">
        <v>34</v>
      </c>
      <c r="B150" s="72" t="s">
        <v>386</v>
      </c>
      <c r="C150" s="94" t="s">
        <v>612</v>
      </c>
      <c r="D150" s="94" t="s">
        <v>506</v>
      </c>
    </row>
    <row r="151" spans="1:4" ht="12.75" customHeight="1" thickBot="1" x14ac:dyDescent="0.4">
      <c r="A151" s="73" t="s">
        <v>34</v>
      </c>
      <c r="B151" s="72" t="s">
        <v>386</v>
      </c>
      <c r="C151" s="95" t="s">
        <v>613</v>
      </c>
      <c r="D151" s="95" t="s">
        <v>614</v>
      </c>
    </row>
    <row r="152" spans="1:4" ht="15" customHeight="1" thickBot="1" x14ac:dyDescent="0.4">
      <c r="A152" s="73" t="s">
        <v>35</v>
      </c>
      <c r="B152" s="72" t="s">
        <v>346</v>
      </c>
      <c r="C152" s="79" t="s">
        <v>615</v>
      </c>
      <c r="D152" s="79" t="s">
        <v>381</v>
      </c>
    </row>
    <row r="153" spans="1:4" ht="14.25" customHeight="1" thickBot="1" x14ac:dyDescent="0.4">
      <c r="A153" s="73" t="s">
        <v>35</v>
      </c>
      <c r="B153" s="72" t="s">
        <v>346</v>
      </c>
      <c r="C153" s="94" t="s">
        <v>616</v>
      </c>
      <c r="D153" s="94" t="s">
        <v>617</v>
      </c>
    </row>
    <row r="154" spans="1:4" ht="12.75" customHeight="1" thickBot="1" x14ac:dyDescent="0.4">
      <c r="A154" s="73" t="s">
        <v>35</v>
      </c>
      <c r="B154" s="72" t="s">
        <v>346</v>
      </c>
      <c r="C154" s="95" t="s">
        <v>618</v>
      </c>
      <c r="D154" s="95" t="s">
        <v>619</v>
      </c>
    </row>
    <row r="155" spans="1:4" ht="10.5" customHeight="1" thickBot="1" x14ac:dyDescent="0.4">
      <c r="A155" s="73" t="s">
        <v>35</v>
      </c>
      <c r="B155" s="72" t="s">
        <v>346</v>
      </c>
      <c r="C155" s="94" t="s">
        <v>620</v>
      </c>
      <c r="D155" s="94" t="s">
        <v>621</v>
      </c>
    </row>
    <row r="156" spans="1:4" ht="17.25" customHeight="1" thickBot="1" x14ac:dyDescent="0.4">
      <c r="A156" s="73" t="s">
        <v>35</v>
      </c>
      <c r="B156" s="72" t="s">
        <v>346</v>
      </c>
      <c r="C156" s="95" t="s">
        <v>622</v>
      </c>
      <c r="D156" s="95" t="s">
        <v>623</v>
      </c>
    </row>
    <row r="157" spans="1:4" ht="12" customHeight="1" thickBot="1" x14ac:dyDescent="0.4">
      <c r="A157" s="73" t="s">
        <v>35</v>
      </c>
      <c r="B157" s="72" t="s">
        <v>367</v>
      </c>
      <c r="C157" s="95" t="s">
        <v>624</v>
      </c>
      <c r="D157" s="95" t="s">
        <v>392</v>
      </c>
    </row>
    <row r="158" spans="1:4" ht="15.75" customHeight="1" thickBot="1" x14ac:dyDescent="0.4">
      <c r="A158" s="73" t="s">
        <v>35</v>
      </c>
      <c r="B158" s="72" t="s">
        <v>367</v>
      </c>
      <c r="C158" s="94" t="s">
        <v>625</v>
      </c>
      <c r="D158" s="94" t="s">
        <v>626</v>
      </c>
    </row>
    <row r="159" spans="1:4" ht="15.75" customHeight="1" thickBot="1" x14ac:dyDescent="0.4">
      <c r="A159" s="73" t="s">
        <v>35</v>
      </c>
      <c r="B159" s="72" t="s">
        <v>367</v>
      </c>
      <c r="C159" s="95" t="s">
        <v>627</v>
      </c>
      <c r="D159" s="95" t="s">
        <v>619</v>
      </c>
    </row>
    <row r="160" spans="1:4" ht="16.5" customHeight="1" thickBot="1" x14ac:dyDescent="0.4">
      <c r="A160" s="73" t="s">
        <v>35</v>
      </c>
      <c r="B160" s="72" t="s">
        <v>367</v>
      </c>
      <c r="C160" s="94" t="s">
        <v>628</v>
      </c>
      <c r="D160" s="94" t="s">
        <v>629</v>
      </c>
    </row>
    <row r="161" spans="1:4" ht="10.5" customHeight="1" thickBot="1" x14ac:dyDescent="0.4">
      <c r="A161" s="73" t="s">
        <v>35</v>
      </c>
      <c r="B161" s="72" t="s">
        <v>367</v>
      </c>
      <c r="C161" s="95" t="s">
        <v>580</v>
      </c>
      <c r="D161" s="95" t="s">
        <v>630</v>
      </c>
    </row>
    <row r="162" spans="1:4" ht="16.5" customHeight="1" thickBot="1" x14ac:dyDescent="0.4">
      <c r="A162" s="73" t="s">
        <v>35</v>
      </c>
      <c r="B162" s="72" t="s">
        <v>386</v>
      </c>
      <c r="C162" s="95" t="s">
        <v>631</v>
      </c>
      <c r="D162" s="95" t="s">
        <v>632</v>
      </c>
    </row>
    <row r="163" spans="1:4" ht="15" customHeight="1" thickBot="1" x14ac:dyDescent="0.4">
      <c r="A163" s="73" t="s">
        <v>35</v>
      </c>
      <c r="B163" s="72" t="s">
        <v>386</v>
      </c>
      <c r="C163" s="94" t="s">
        <v>633</v>
      </c>
      <c r="D163" s="94" t="s">
        <v>621</v>
      </c>
    </row>
    <row r="164" spans="1:4" ht="11.25" customHeight="1" thickBot="1" x14ac:dyDescent="0.4">
      <c r="A164" s="73" t="s">
        <v>35</v>
      </c>
      <c r="B164" s="72" t="s">
        <v>386</v>
      </c>
      <c r="C164" s="95" t="s">
        <v>634</v>
      </c>
      <c r="D164" s="95" t="s">
        <v>635</v>
      </c>
    </row>
    <row r="165" spans="1:4" ht="15" customHeight="1" thickBot="1" x14ac:dyDescent="0.4">
      <c r="A165" s="73" t="s">
        <v>35</v>
      </c>
      <c r="B165" s="72" t="s">
        <v>386</v>
      </c>
      <c r="C165" s="94" t="s">
        <v>636</v>
      </c>
      <c r="D165" s="94" t="s">
        <v>637</v>
      </c>
    </row>
    <row r="166" spans="1:4" ht="16.5" customHeight="1" thickBot="1" x14ac:dyDescent="0.4">
      <c r="A166" s="73" t="s">
        <v>35</v>
      </c>
      <c r="B166" s="72" t="s">
        <v>386</v>
      </c>
      <c r="C166" s="95" t="s">
        <v>638</v>
      </c>
      <c r="D166" s="95" t="s">
        <v>584</v>
      </c>
    </row>
  </sheetData>
  <sheetProtection algorithmName="SHA-512" hashValue="vaKslBg9A6cCIJBTLd+bgO5MY2obQJG/sPh7HlzkSB/XdClRddsdsfBXZsCtNDJnIwxtBQHN15+xHCeUBvnb/g==" saltValue="SY881I6a1nr7UvSLZl6qig==" spinCount="100000" sheet="1" objects="1" scenarios="1" selectLockedCells="1" selectUnlockedCells="1"/>
  <pageMargins left="0.75" right="0.75" top="1" bottom="1" header="0.511811023622047" footer="0.51180555555555596"/>
  <pageSetup paperSize="9" orientation="portrait" horizontalDpi="300" verticalDpi="300"/>
  <headerFooter>
    <oddFooter>&amp;C&amp;8 &amp;K888888© 2025 Rabiga Sagyndykova · LOLA System · Resale and redistribution prohibited&amp;R&amp;8 Стр. &amp;P из 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>
    <tabColor rgb="FFE46C0A"/>
  </sheetPr>
  <dimension ref="A1:H13"/>
  <sheetViews>
    <sheetView topLeftCell="A3" zoomScaleNormal="100" workbookViewId="0">
      <selection activeCell="D6" sqref="D6"/>
    </sheetView>
  </sheetViews>
  <sheetFormatPr defaultColWidth="8.7265625" defaultRowHeight="14.5" x14ac:dyDescent="0.35"/>
  <cols>
    <col min="1" max="1" width="9.54296875" style="1" customWidth="1"/>
    <col min="2" max="2" width="17.54296875" style="1" customWidth="1"/>
    <col min="3" max="3" width="15" style="1" customWidth="1"/>
    <col min="4" max="4" width="16.453125" style="1" customWidth="1"/>
  </cols>
  <sheetData>
    <row r="1" spans="1:8" ht="24" customHeight="1" thickBot="1" x14ac:dyDescent="0.4">
      <c r="A1" s="74" t="s">
        <v>59</v>
      </c>
      <c r="B1" s="75" t="s">
        <v>639</v>
      </c>
      <c r="C1" s="75" t="s">
        <v>640</v>
      </c>
      <c r="D1" s="75" t="s">
        <v>641</v>
      </c>
      <c r="E1" s="76"/>
      <c r="F1" s="76"/>
      <c r="G1" s="69"/>
      <c r="H1" s="69"/>
    </row>
    <row r="2" spans="1:8" ht="36" customHeight="1" thickBot="1" x14ac:dyDescent="0.4">
      <c r="A2" s="77" t="s">
        <v>29</v>
      </c>
      <c r="B2" s="89" t="s">
        <v>642</v>
      </c>
      <c r="C2" s="89" t="s">
        <v>643</v>
      </c>
      <c r="D2" s="89" t="s">
        <v>644</v>
      </c>
      <c r="E2" s="76"/>
    </row>
    <row r="3" spans="1:8" ht="36" customHeight="1" thickBot="1" x14ac:dyDescent="0.4">
      <c r="A3" s="77" t="s">
        <v>30</v>
      </c>
      <c r="B3" s="90" t="s">
        <v>645</v>
      </c>
      <c r="C3" s="90" t="s">
        <v>646</v>
      </c>
      <c r="D3" s="90" t="s">
        <v>647</v>
      </c>
      <c r="E3" s="76"/>
      <c r="F3" s="76"/>
    </row>
    <row r="4" spans="1:8" ht="36" customHeight="1" thickBot="1" x14ac:dyDescent="0.4">
      <c r="A4" s="77" t="s">
        <v>31</v>
      </c>
      <c r="B4" s="91" t="s">
        <v>648</v>
      </c>
      <c r="C4" s="91" t="s">
        <v>649</v>
      </c>
      <c r="D4" s="91" t="s">
        <v>650</v>
      </c>
      <c r="E4" s="76"/>
      <c r="F4" s="76"/>
    </row>
    <row r="5" spans="1:8" ht="36" customHeight="1" thickBot="1" x14ac:dyDescent="0.4">
      <c r="A5" s="77" t="s">
        <v>32</v>
      </c>
      <c r="B5" s="90" t="s">
        <v>651</v>
      </c>
      <c r="C5" s="90" t="s">
        <v>652</v>
      </c>
      <c r="D5" s="90" t="s">
        <v>653</v>
      </c>
      <c r="E5" s="76"/>
      <c r="F5" s="76"/>
    </row>
    <row r="6" spans="1:8" ht="24" customHeight="1" thickBot="1" x14ac:dyDescent="0.4">
      <c r="A6" s="77" t="s">
        <v>33</v>
      </c>
      <c r="B6" s="91" t="s">
        <v>654</v>
      </c>
      <c r="C6" s="91" t="s">
        <v>655</v>
      </c>
      <c r="D6" s="91" t="s">
        <v>656</v>
      </c>
      <c r="E6" s="76"/>
      <c r="F6" s="76"/>
    </row>
    <row r="7" spans="1:8" ht="36" customHeight="1" thickBot="1" x14ac:dyDescent="0.4">
      <c r="A7" s="77" t="s">
        <v>34</v>
      </c>
      <c r="B7" s="90" t="s">
        <v>657</v>
      </c>
      <c r="C7" s="90" t="s">
        <v>658</v>
      </c>
      <c r="D7" s="90" t="s">
        <v>659</v>
      </c>
      <c r="E7" s="76"/>
      <c r="F7" s="76"/>
    </row>
    <row r="8" spans="1:8" ht="36" customHeight="1" thickBot="1" x14ac:dyDescent="0.4">
      <c r="A8" s="77" t="s">
        <v>35</v>
      </c>
      <c r="B8" s="91" t="s">
        <v>660</v>
      </c>
      <c r="C8" s="91" t="s">
        <v>661</v>
      </c>
      <c r="D8" s="91" t="s">
        <v>662</v>
      </c>
      <c r="E8" s="76"/>
      <c r="F8" s="76"/>
    </row>
    <row r="9" spans="1:8" ht="15" customHeight="1" x14ac:dyDescent="0.35">
      <c r="A9" s="76"/>
      <c r="B9" s="76"/>
      <c r="C9" s="76"/>
      <c r="D9" s="76"/>
      <c r="E9" s="76"/>
    </row>
    <row r="10" spans="1:8" ht="15" customHeight="1" x14ac:dyDescent="0.35">
      <c r="A10" s="76"/>
      <c r="B10" s="76"/>
      <c r="C10" s="76"/>
      <c r="D10" s="76"/>
      <c r="E10" s="76"/>
    </row>
    <row r="11" spans="1:8" ht="15" customHeight="1" x14ac:dyDescent="0.35">
      <c r="A11" s="76"/>
      <c r="B11" s="76"/>
      <c r="C11" s="76"/>
      <c r="D11" s="76"/>
      <c r="E11" s="76"/>
    </row>
    <row r="12" spans="1:8" ht="15" customHeight="1" x14ac:dyDescent="0.35">
      <c r="A12" s="76"/>
      <c r="B12" s="76"/>
      <c r="C12" s="76"/>
      <c r="D12" s="76"/>
      <c r="E12" s="76"/>
    </row>
    <row r="13" spans="1:8" ht="15" customHeight="1" x14ac:dyDescent="0.35">
      <c r="A13" s="76"/>
      <c r="B13" s="76"/>
      <c r="C13" s="76"/>
      <c r="D13" s="76"/>
      <c r="E13" s="76"/>
    </row>
  </sheetData>
  <sheetProtection algorithmName="SHA-512" hashValue="/BJMe4xV2k+JhQM2piAnj4/H+cbiLEes7bqdPQFucnbJ6+i2XLmx8wTVPWp9QAJc8uIDdQruYtNbKj2e+mblwA==" saltValue="O/VLl76LWqTs/XaDX/r0tw==" spinCount="100000" sheet="1" objects="1" scenarios="1" selectLockedCells="1" selectUnlockedCells="1"/>
  <pageMargins left="0.75" right="0.75" top="1" bottom="1" header="0.511811023622047" footer="0.51180555555555596"/>
  <pageSetup paperSize="9" orientation="portrait" horizontalDpi="300" verticalDpi="300"/>
  <headerFooter>
    <oddFooter>&amp;C&amp;8 &amp;K888888© 2025 Rabiga Sagyndykova · LOLA System · Resale and redistribution prohibited&amp;R&amp;8 Стр. &amp;P из 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1:C8"/>
  <sheetViews>
    <sheetView zoomScaleNormal="100" workbookViewId="0">
      <selection activeCell="C7" sqref="C7"/>
    </sheetView>
  </sheetViews>
  <sheetFormatPr defaultColWidth="8.7265625" defaultRowHeight="14.5" x14ac:dyDescent="0.35"/>
  <cols>
    <col min="1" max="1" width="22" style="1" customWidth="1"/>
    <col min="2" max="2" width="29.81640625" style="1" customWidth="1"/>
    <col min="3" max="3" width="36" style="1" customWidth="1"/>
  </cols>
  <sheetData>
    <row r="1" spans="1:3" ht="15" customHeight="1" thickBot="1" x14ac:dyDescent="0.4">
      <c r="A1" s="78" t="s">
        <v>59</v>
      </c>
      <c r="B1" s="80" t="s">
        <v>663</v>
      </c>
      <c r="C1" s="78" t="s">
        <v>250</v>
      </c>
    </row>
    <row r="2" spans="1:3" ht="15" customHeight="1" thickBot="1" x14ac:dyDescent="0.4">
      <c r="A2" t="s">
        <v>29</v>
      </c>
      <c r="B2" s="89" t="s">
        <v>664</v>
      </c>
      <c r="C2" s="89" t="s">
        <v>665</v>
      </c>
    </row>
    <row r="3" spans="1:3" ht="15" customHeight="1" thickBot="1" x14ac:dyDescent="0.4">
      <c r="A3" t="s">
        <v>30</v>
      </c>
      <c r="B3" s="90" t="s">
        <v>666</v>
      </c>
      <c r="C3" s="90" t="s">
        <v>667</v>
      </c>
    </row>
    <row r="4" spans="1:3" ht="15" customHeight="1" thickBot="1" x14ac:dyDescent="0.4">
      <c r="A4" t="s">
        <v>31</v>
      </c>
      <c r="B4" s="91" t="s">
        <v>668</v>
      </c>
      <c r="C4" s="91" t="s">
        <v>669</v>
      </c>
    </row>
    <row r="5" spans="1:3" ht="15" customHeight="1" thickBot="1" x14ac:dyDescent="0.4">
      <c r="A5" t="s">
        <v>32</v>
      </c>
      <c r="B5" s="90" t="s">
        <v>670</v>
      </c>
      <c r="C5" s="90" t="s">
        <v>671</v>
      </c>
    </row>
    <row r="6" spans="1:3" ht="15" customHeight="1" thickBot="1" x14ac:dyDescent="0.4">
      <c r="A6" t="s">
        <v>33</v>
      </c>
      <c r="B6" s="91" t="s">
        <v>672</v>
      </c>
      <c r="C6" s="91" t="s">
        <v>673</v>
      </c>
    </row>
    <row r="7" spans="1:3" ht="15" customHeight="1" thickBot="1" x14ac:dyDescent="0.4">
      <c r="A7" t="s">
        <v>34</v>
      </c>
      <c r="B7" s="90" t="s">
        <v>674</v>
      </c>
      <c r="C7" s="90" t="s">
        <v>675</v>
      </c>
    </row>
    <row r="8" spans="1:3" ht="15" customHeight="1" thickBot="1" x14ac:dyDescent="0.4">
      <c r="A8" t="s">
        <v>35</v>
      </c>
      <c r="B8" s="91" t="s">
        <v>666</v>
      </c>
      <c r="C8" s="91" t="s">
        <v>676</v>
      </c>
    </row>
  </sheetData>
  <sheetProtection algorithmName="SHA-512" hashValue="55cp6G/1eiA02okdUJIanoCVTKltcGEOPGXZYqwXHixHs36KvflE2X/DMjgWQ1+U4jBCqiErQ7Xfiwd9EpHDYg==" saltValue="EkLQvDHi0Fp6Q3DNe4M5pQ==" spinCount="100000" sheet="1" objects="1" scenarios="1" selectLockedCells="1" selectUnlockedCells="1"/>
  <pageMargins left="0.75" right="0.75" top="1" bottom="1" header="0.511811023622047" footer="0.51180555555555596"/>
  <pageSetup paperSize="9" orientation="portrait" horizontalDpi="300" verticalDpi="300"/>
  <headerFooter>
    <oddFooter>&amp;C&amp;8 &amp;K888888© 2025 Rabiga Sagyndykova · LOLA System · Resale and redistribution prohibited&amp;R&amp;8 Стр. &amp;P из 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1:D9"/>
  <sheetViews>
    <sheetView zoomScaleNormal="100" workbookViewId="0">
      <selection activeCell="F11" sqref="F11"/>
    </sheetView>
  </sheetViews>
  <sheetFormatPr defaultColWidth="8.7265625" defaultRowHeight="14.5" x14ac:dyDescent="0.35"/>
  <cols>
    <col min="1" max="1" width="26" style="1" customWidth="1"/>
    <col min="2" max="2" width="30" style="1" customWidth="1"/>
    <col min="3" max="3" width="14" style="1" customWidth="1"/>
    <col min="4" max="4" width="42" style="1" customWidth="1"/>
  </cols>
  <sheetData>
    <row r="1" spans="1:4" ht="27.75" customHeight="1" thickBot="1" x14ac:dyDescent="0.4">
      <c r="A1" s="92" t="s">
        <v>677</v>
      </c>
      <c r="B1" s="93" t="s">
        <v>678</v>
      </c>
      <c r="C1" s="93" t="s">
        <v>679</v>
      </c>
      <c r="D1" s="93" t="s">
        <v>38</v>
      </c>
    </row>
    <row r="2" spans="1:4" ht="15" customHeight="1" x14ac:dyDescent="0.35">
      <c r="A2" s="116" t="s">
        <v>680</v>
      </c>
      <c r="B2" s="116" t="s">
        <v>681</v>
      </c>
      <c r="C2" s="160">
        <f>AVERAGE(PROFILE!F2,PROFILE!F3)</f>
        <v>0</v>
      </c>
      <c r="D2" s="116" t="str">
        <f t="shared" ref="D2:D7" si="0">IF(C2&gt;=0.75,"Function is relatively well-developed",IF(C2&gt;=0.5,"Function requires development","Function is a weak link"))</f>
        <v>Function is a weak link</v>
      </c>
    </row>
    <row r="3" spans="1:4" ht="15" customHeight="1" x14ac:dyDescent="0.35">
      <c r="A3" s="116" t="s">
        <v>682</v>
      </c>
      <c r="B3" s="116" t="s">
        <v>683</v>
      </c>
      <c r="C3" s="160">
        <f>AVERAGE(PROFILE!F2,PROFILE!F6)</f>
        <v>0</v>
      </c>
      <c r="D3" s="116" t="str">
        <f t="shared" si="0"/>
        <v>Function is a weak link</v>
      </c>
    </row>
    <row r="4" spans="1:4" ht="15" customHeight="1" x14ac:dyDescent="0.35">
      <c r="A4" s="116" t="s">
        <v>684</v>
      </c>
      <c r="B4" s="116" t="s">
        <v>32</v>
      </c>
      <c r="C4" s="161">
        <f>PROFILE!F5</f>
        <v>0</v>
      </c>
      <c r="D4" s="116" t="str">
        <f t="shared" si="0"/>
        <v>Function is a weak link</v>
      </c>
    </row>
    <row r="5" spans="1:4" ht="15" customHeight="1" x14ac:dyDescent="0.35">
      <c r="A5" s="116" t="s">
        <v>685</v>
      </c>
      <c r="B5" s="116" t="s">
        <v>686</v>
      </c>
      <c r="C5" s="160">
        <f>AVERAGE(PROFILE!F4,PROFILE!F7)</f>
        <v>0</v>
      </c>
      <c r="D5" s="116" t="str">
        <f t="shared" si="0"/>
        <v>Function is a weak link</v>
      </c>
    </row>
    <row r="6" spans="1:4" ht="15" customHeight="1" x14ac:dyDescent="0.35">
      <c r="A6" s="116" t="s">
        <v>687</v>
      </c>
      <c r="B6" s="116" t="s">
        <v>33</v>
      </c>
      <c r="C6" s="161">
        <f>PROFILE!F6</f>
        <v>0</v>
      </c>
      <c r="D6" s="116" t="str">
        <f t="shared" si="0"/>
        <v>Function is a weak link</v>
      </c>
    </row>
    <row r="7" spans="1:4" ht="15" customHeight="1" x14ac:dyDescent="0.35">
      <c r="A7" s="116" t="s">
        <v>688</v>
      </c>
      <c r="B7" s="116" t="s">
        <v>35</v>
      </c>
      <c r="C7" s="161">
        <f>PROFILE!F8</f>
        <v>0</v>
      </c>
      <c r="D7" s="116" t="str">
        <f t="shared" si="0"/>
        <v>Function is a weak link</v>
      </c>
    </row>
    <row r="8" spans="1:4" x14ac:dyDescent="0.35">
      <c r="A8" s="116"/>
      <c r="B8" s="116"/>
      <c r="C8" s="116"/>
      <c r="D8" s="116"/>
    </row>
    <row r="9" spans="1:4" ht="15" customHeight="1" x14ac:dyDescent="0.35">
      <c r="A9" s="162" t="s">
        <v>689</v>
      </c>
      <c r="B9" s="116"/>
      <c r="C9" s="116" t="str">
        <f>INDEX(A2:A7,MATCH(MIN(C2:C7),C2:C7,0))</f>
        <v>Motor control</v>
      </c>
      <c r="D9" s="116" t="str">
        <f>CONCATENATE("Most vulnerable function: ",C9)</f>
        <v>Most vulnerable function: Motor control</v>
      </c>
    </row>
  </sheetData>
  <sheetProtection algorithmName="SHA-512" hashValue="nvQ9WhDHJ9WnkX/0WlFxcdsezFUs+Dn5HLJL+eSMb+VNPCcGJgg2AVWXNO0X1WjQ5KnzlXOArezS0U4qCZI9ow==" saltValue="PCKsA9QTc+ni2YYlcAoEmQ==" spinCount="100000" sheet="1" objects="1" scenarios="1" selectLockedCells="1" selectUnlockedCells="1"/>
  <pageMargins left="0.75" right="0.75" top="1" bottom="1" header="0.511811023622047" footer="0.51180555555555596"/>
  <pageSetup paperSize="9" orientation="portrait" horizontalDpi="300" verticalDpi="300"/>
  <headerFooter>
    <oddFooter>&amp;C&amp;8 &amp;K888888© 2025 Rabiga Sagyndykova · LOLA System · Resale and redistribution prohibited&amp;R&amp;8 Стр. &amp;P из 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1:E10"/>
  <sheetViews>
    <sheetView zoomScaleNormal="100" workbookViewId="0">
      <selection sqref="A1:E10"/>
    </sheetView>
  </sheetViews>
  <sheetFormatPr defaultColWidth="8.7265625" defaultRowHeight="14.5" x14ac:dyDescent="0.35"/>
  <cols>
    <col min="1" max="1" width="19.81640625" style="1" customWidth="1"/>
    <col min="2" max="2" width="23" style="1" customWidth="1"/>
    <col min="3" max="3" width="9.26953125" style="1" customWidth="1"/>
    <col min="4" max="4" width="38" style="1" customWidth="1"/>
    <col min="5" max="5" width="36" style="1" customWidth="1"/>
  </cols>
  <sheetData>
    <row r="1" spans="1:5" ht="27.75" customHeight="1" x14ac:dyDescent="0.35">
      <c r="A1" s="163" t="s">
        <v>690</v>
      </c>
      <c r="B1" s="163" t="s">
        <v>678</v>
      </c>
      <c r="C1" s="163" t="s">
        <v>679</v>
      </c>
      <c r="D1" s="163" t="s">
        <v>38</v>
      </c>
      <c r="E1" s="163" t="s">
        <v>691</v>
      </c>
    </row>
    <row r="2" spans="1:5" ht="15" customHeight="1" x14ac:dyDescent="0.35">
      <c r="A2" s="164" t="s">
        <v>692</v>
      </c>
      <c r="B2" s="164" t="s">
        <v>693</v>
      </c>
      <c r="C2" s="165">
        <f>AVERAGE(PROFILE!F5,PROFILE!F3)</f>
        <v>0</v>
      </c>
      <c r="D2" s="147" t="str">
        <f t="shared" ref="D2:D7" si="0">IF(C2&gt;=0.75,"The system functions relatively stably",IF(C2&gt;=0.5,"Sensory support required","Significant sensory difficulties likely"))</f>
        <v>Significant sensory difficulties likely</v>
      </c>
      <c r="E2" s="164" t="s">
        <v>694</v>
      </c>
    </row>
    <row r="3" spans="1:5" ht="15" customHeight="1" x14ac:dyDescent="0.35">
      <c r="A3" s="164" t="s">
        <v>695</v>
      </c>
      <c r="B3" s="164" t="s">
        <v>31</v>
      </c>
      <c r="C3" s="166">
        <f>PROFILE!F4</f>
        <v>0</v>
      </c>
      <c r="D3" s="147" t="str">
        <f t="shared" si="0"/>
        <v>Significant sensory difficulties likely</v>
      </c>
      <c r="E3" s="164" t="s">
        <v>696</v>
      </c>
    </row>
    <row r="4" spans="1:5" ht="15" customHeight="1" x14ac:dyDescent="0.35">
      <c r="A4" s="164" t="s">
        <v>697</v>
      </c>
      <c r="B4" s="164" t="s">
        <v>698</v>
      </c>
      <c r="C4" s="165">
        <f>AVERAGE(PROFILE!F6,PROFILE!F3)</f>
        <v>0</v>
      </c>
      <c r="D4" s="147" t="str">
        <f t="shared" si="0"/>
        <v>Significant sensory difficulties likely</v>
      </c>
      <c r="E4" s="164" t="s">
        <v>699</v>
      </c>
    </row>
    <row r="5" spans="1:5" ht="15" customHeight="1" x14ac:dyDescent="0.35">
      <c r="A5" s="164" t="s">
        <v>700</v>
      </c>
      <c r="B5" s="164" t="s">
        <v>29</v>
      </c>
      <c r="C5" s="166">
        <f>PROFILE!F2</f>
        <v>0</v>
      </c>
      <c r="D5" s="147" t="str">
        <f t="shared" si="0"/>
        <v>Significant sensory difficulties likely</v>
      </c>
      <c r="E5" s="164" t="s">
        <v>701</v>
      </c>
    </row>
    <row r="6" spans="1:5" ht="15" customHeight="1" x14ac:dyDescent="0.35">
      <c r="A6" s="164" t="s">
        <v>702</v>
      </c>
      <c r="B6" s="164" t="s">
        <v>29</v>
      </c>
      <c r="C6" s="166">
        <f>PROFILE!F2</f>
        <v>0</v>
      </c>
      <c r="D6" s="147" t="str">
        <f t="shared" si="0"/>
        <v>Significant sensory difficulties likely</v>
      </c>
      <c r="E6" s="164" t="s">
        <v>703</v>
      </c>
    </row>
    <row r="7" spans="1:5" ht="15" customHeight="1" x14ac:dyDescent="0.35">
      <c r="A7" s="164" t="s">
        <v>704</v>
      </c>
      <c r="B7" s="164" t="s">
        <v>35</v>
      </c>
      <c r="C7" s="166">
        <f>PROFILE!F8</f>
        <v>0</v>
      </c>
      <c r="D7" s="147" t="str">
        <f t="shared" si="0"/>
        <v>Significant sensory difficulties likely</v>
      </c>
      <c r="E7" s="164" t="s">
        <v>705</v>
      </c>
    </row>
    <row r="8" spans="1:5" ht="15" customHeight="1" x14ac:dyDescent="0.35">
      <c r="A8" s="164"/>
      <c r="B8" s="164"/>
      <c r="C8" s="164"/>
      <c r="D8" s="164"/>
      <c r="E8" s="164"/>
    </row>
    <row r="9" spans="1:5" ht="15" customHeight="1" x14ac:dyDescent="0.35">
      <c r="A9" s="167" t="s">
        <v>706</v>
      </c>
      <c r="B9" s="164"/>
      <c r="C9" s="164" t="str">
        <f>INDEX(A2:A7,MATCH(MIN(C2:C7),C2:C7,0))</f>
        <v>Vision</v>
      </c>
      <c r="D9" s="164" t="str">
        <f>CONCATENATE("Most vulnerable system: ",C9)</f>
        <v>Most vulnerable system: Vision</v>
      </c>
      <c r="E9" s="164"/>
    </row>
    <row r="10" spans="1:5" x14ac:dyDescent="0.35">
      <c r="A10" s="116"/>
      <c r="B10" s="116"/>
      <c r="C10" s="116"/>
      <c r="D10" s="116"/>
      <c r="E10" s="116"/>
    </row>
  </sheetData>
  <sheetProtection algorithmName="SHA-512" hashValue="nG2aMgRtafAGIwPIXDLemuFwLfedT4/27PMIDzhDckmktBg/ug+tA0VYR6UgnDBD/kWYmlPKbYCMewbSU0JLEQ==" saltValue="pive+AoN6fnzH8nLEH8BvQ==" spinCount="100000" sheet="1" objects="1" scenarios="1" selectLockedCells="1" selectUnlockedCells="1"/>
  <pageMargins left="0.75" right="0.75" top="1" bottom="1" header="0.511811023622047" footer="0.51180555555555596"/>
  <pageSetup paperSize="9" orientation="portrait" horizontalDpi="300" verticalDpi="300"/>
  <headerFooter>
    <oddFooter>&amp;C&amp;8 &amp;K888888© 2025 Rabiga Sagyndykova · LOLA System · Resale and redistribution prohibited&amp;R&amp;8 Стр. &amp;P из 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F00-000000000000}">
  <dimension ref="A1:J10"/>
  <sheetViews>
    <sheetView zoomScaleNormal="100" workbookViewId="0">
      <selection sqref="A1:J10"/>
    </sheetView>
  </sheetViews>
  <sheetFormatPr defaultColWidth="8.7265625" defaultRowHeight="14.5" x14ac:dyDescent="0.35"/>
  <cols>
    <col min="1" max="1" width="17" style="1" customWidth="1"/>
    <col min="2" max="2" width="13.81640625" style="1" customWidth="1"/>
    <col min="3" max="3" width="41" style="1" customWidth="1"/>
    <col min="4" max="4" width="30" style="1" customWidth="1"/>
  </cols>
  <sheetData>
    <row r="1" spans="1:10" ht="27.75" customHeight="1" x14ac:dyDescent="0.35">
      <c r="A1" s="163" t="s">
        <v>707</v>
      </c>
      <c r="B1" s="163" t="s">
        <v>204</v>
      </c>
      <c r="C1" s="163" t="s">
        <v>708</v>
      </c>
      <c r="D1" s="163" t="s">
        <v>709</v>
      </c>
      <c r="E1" s="116"/>
      <c r="F1" s="116"/>
      <c r="G1" s="116"/>
      <c r="H1" s="116"/>
      <c r="I1" s="116"/>
      <c r="J1" s="116"/>
    </row>
    <row r="2" spans="1:10" ht="15" customHeight="1" x14ac:dyDescent="0.35">
      <c r="A2" s="164" t="s">
        <v>710</v>
      </c>
      <c r="B2" s="166">
        <f>PROFILE!F2</f>
        <v>0</v>
      </c>
      <c r="C2" s="164" t="str">
        <f>IF(B2&lt;0.5,"Possible motor cause of delay","")</f>
        <v>Possible motor cause of delay</v>
      </c>
      <c r="D2" s="164" t="s">
        <v>711</v>
      </c>
      <c r="E2" s="164"/>
      <c r="F2" s="164"/>
      <c r="G2" s="164"/>
      <c r="H2" s="164"/>
      <c r="I2" s="116"/>
      <c r="J2" s="116"/>
    </row>
    <row r="3" spans="1:10" ht="15" customHeight="1" x14ac:dyDescent="0.35">
      <c r="A3" s="164" t="s">
        <v>712</v>
      </c>
      <c r="B3" s="17" t="str">
        <f>SENSORY!C9</f>
        <v>Vision</v>
      </c>
      <c r="C3" s="164" t="str">
        <f>IF(B3&lt;0.5,"Possible sensory cause of delay","")</f>
        <v/>
      </c>
      <c r="D3" s="164" t="s">
        <v>682</v>
      </c>
      <c r="E3" s="164"/>
      <c r="F3" s="164"/>
      <c r="G3" s="164"/>
      <c r="H3" s="164"/>
      <c r="I3" s="116"/>
      <c r="J3" s="116"/>
    </row>
    <row r="4" spans="1:10" ht="15" customHeight="1" x14ac:dyDescent="0.35">
      <c r="A4" s="164" t="s">
        <v>713</v>
      </c>
      <c r="B4" s="166">
        <f>PROFILE!F4</f>
        <v>0</v>
      </c>
      <c r="C4" s="164" t="str">
        <f>IF(B4&lt;0.5,"Possible communicative cause of delay","")</f>
        <v>Possible communicative cause of delay</v>
      </c>
      <c r="D4" s="164" t="s">
        <v>714</v>
      </c>
      <c r="E4" s="164"/>
      <c r="F4" s="164"/>
      <c r="G4" s="164"/>
      <c r="H4" s="164"/>
      <c r="I4" s="116"/>
      <c r="J4" s="116"/>
    </row>
    <row r="5" spans="1:10" ht="15" customHeight="1" x14ac:dyDescent="0.35">
      <c r="A5" s="164" t="s">
        <v>32</v>
      </c>
      <c r="B5" s="166">
        <f>PROFILE!F5</f>
        <v>0</v>
      </c>
      <c r="C5" s="164" t="str">
        <f>IF(B5&lt;0.5,"Possible cognitive cause of delay","")</f>
        <v>Possible cognitive cause of delay</v>
      </c>
      <c r="D5" s="164" t="s">
        <v>670</v>
      </c>
      <c r="E5" s="164"/>
      <c r="F5" s="164"/>
      <c r="G5" s="164"/>
      <c r="H5" s="164"/>
      <c r="I5" s="116"/>
      <c r="J5" s="116"/>
    </row>
    <row r="6" spans="1:10" ht="15" customHeight="1" x14ac:dyDescent="0.35">
      <c r="A6" s="164" t="s">
        <v>33</v>
      </c>
      <c r="B6" s="166">
        <f>PROFILE!F6</f>
        <v>0</v>
      </c>
      <c r="C6" s="164" t="str">
        <f>IF(B6&lt;0.5,"Possible emotional cause of delay","")</f>
        <v>Possible emotional cause of delay</v>
      </c>
      <c r="D6" s="164" t="s">
        <v>672</v>
      </c>
      <c r="E6" s="164"/>
      <c r="F6" s="164"/>
      <c r="G6" s="164"/>
      <c r="H6" s="164"/>
      <c r="I6" s="116"/>
      <c r="J6" s="116"/>
    </row>
    <row r="7" spans="1:10" ht="15" customHeight="1" x14ac:dyDescent="0.35">
      <c r="A7" s="164" t="s">
        <v>715</v>
      </c>
      <c r="B7" s="166">
        <f>PROFILE!F8</f>
        <v>0</v>
      </c>
      <c r="C7" s="164" t="str">
        <f>IF(B7&lt;0.5,"Possible adaptive cause of delay","")</f>
        <v>Possible adaptive cause of delay</v>
      </c>
      <c r="D7" s="164" t="s">
        <v>716</v>
      </c>
      <c r="E7" s="164"/>
      <c r="F7" s="164"/>
      <c r="G7" s="164"/>
      <c r="H7" s="164"/>
      <c r="I7" s="116"/>
      <c r="J7" s="116"/>
    </row>
    <row r="8" spans="1:10" ht="15" customHeight="1" x14ac:dyDescent="0.35">
      <c r="A8" s="164"/>
      <c r="B8" s="164"/>
      <c r="C8" s="164"/>
      <c r="D8" s="164"/>
      <c r="E8" s="164"/>
      <c r="F8" s="164"/>
      <c r="G8" s="164"/>
      <c r="H8" s="164"/>
      <c r="I8" s="116"/>
      <c r="J8" s="116"/>
    </row>
    <row r="9" spans="1:10" ht="15" customHeight="1" x14ac:dyDescent="0.35">
      <c r="A9" s="167" t="s">
        <v>717</v>
      </c>
      <c r="B9" s="164"/>
      <c r="C9" s="164" t="str">
        <f>IFERROR(CONCATENATE(IF(C2&lt;&gt;"",C2&amp;"; ",""),IF(C3&lt;&gt;"",C3&amp;"; ",""),IF(C4&lt;&gt;"",C4&amp;"; ",""),IF(C5&lt;&gt;"",C5&amp;"; ",""),IF(C6&lt;&gt;"",C6&amp;"; ",""),IF(C7&lt;&gt;"",C7,"")),"")</f>
        <v>Possible motor cause of delay; Possible communicative cause of delay; Possible cognitive cause of delay; Possible emotional cause of delay; Possible adaptive cause of delay</v>
      </c>
      <c r="D9" s="164"/>
      <c r="E9" s="164"/>
      <c r="F9" s="164"/>
      <c r="G9" s="164"/>
      <c r="H9" s="164"/>
      <c r="I9" s="116"/>
      <c r="J9" s="116"/>
    </row>
    <row r="10" spans="1:10" ht="15" customHeight="1" x14ac:dyDescent="0.35">
      <c r="A10" s="167" t="s">
        <v>718</v>
      </c>
      <c r="B10" s="164"/>
      <c r="C10" s="164" t="str">
        <f>INDEX(A2:A7,MATCH(MIN(B2:B7),B2:B7,0))</f>
        <v>Motor</v>
      </c>
      <c r="D10" s="164"/>
      <c r="E10" s="164"/>
      <c r="F10" s="164"/>
      <c r="G10" s="164"/>
      <c r="H10" s="164"/>
      <c r="I10" s="116"/>
      <c r="J10" s="116"/>
    </row>
  </sheetData>
  <sheetProtection algorithmName="SHA-512" hashValue="fOiRKi696LC+FgsRBYYLS83aGT5iRoThWzKwRv5cxMdV6mr7pL0G8Yom8idlsqf/Te325NnItznHG4EvzcyElg==" saltValue="dy+t8dTIH3wgVGRyMgW1eg==" spinCount="100000" sheet="1" objects="1" scenarios="1" selectLockedCells="1" selectUnlockedCells="1"/>
  <pageMargins left="0.75" right="0.75" top="1" bottom="1" header="0.511811023622047" footer="0.51180555555555596"/>
  <pageSetup paperSize="9" orientation="portrait" horizontalDpi="300" verticalDpi="300"/>
  <headerFooter>
    <oddFooter>&amp;C&amp;8 &amp;K888888© 2025 Rabiga Sagyndykova · LOLA System · Resale and redistribution prohibited&amp;R&amp;8 Стр. &amp;P из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C3D69B"/>
  </sheetPr>
  <dimension ref="A1:L29"/>
  <sheetViews>
    <sheetView topLeftCell="A4" zoomScaleNormal="100" workbookViewId="0">
      <selection activeCell="C14" sqref="C14"/>
    </sheetView>
  </sheetViews>
  <sheetFormatPr defaultColWidth="8.7265625" defaultRowHeight="14.5" x14ac:dyDescent="0.35"/>
  <cols>
    <col min="1" max="4" width="11.54296875" style="1" customWidth="1"/>
    <col min="9" max="9" width="11.81640625" style="1" customWidth="1"/>
  </cols>
  <sheetData>
    <row r="1" spans="1:10" ht="15" customHeight="1" x14ac:dyDescent="0.35">
      <c r="A1" s="35" t="s">
        <v>16</v>
      </c>
    </row>
    <row r="2" spans="1:10" ht="15" customHeight="1" x14ac:dyDescent="0.35">
      <c r="A2" s="185" t="s">
        <v>17</v>
      </c>
      <c r="B2" s="169"/>
      <c r="C2" s="169"/>
      <c r="D2" s="169"/>
      <c r="E2" s="169"/>
      <c r="F2" s="169"/>
      <c r="G2" s="169"/>
      <c r="H2" s="169"/>
      <c r="I2" s="169"/>
    </row>
    <row r="3" spans="1:10" ht="15" customHeight="1" x14ac:dyDescent="0.35">
      <c r="A3" t="s">
        <v>18</v>
      </c>
    </row>
    <row r="4" spans="1:10" ht="15" customHeight="1" x14ac:dyDescent="0.35">
      <c r="A4" t="s">
        <v>19</v>
      </c>
    </row>
    <row r="5" spans="1:10" ht="15" customHeight="1" x14ac:dyDescent="0.35">
      <c r="A5" t="s">
        <v>20</v>
      </c>
    </row>
    <row r="6" spans="1:10" ht="15" customHeight="1" x14ac:dyDescent="0.35">
      <c r="A6" t="s">
        <v>21</v>
      </c>
    </row>
    <row r="7" spans="1:10" ht="15" customHeight="1" x14ac:dyDescent="0.35">
      <c r="A7" t="s">
        <v>22</v>
      </c>
    </row>
    <row r="8" spans="1:10" ht="15" customHeight="1" x14ac:dyDescent="0.35">
      <c r="A8" t="s">
        <v>23</v>
      </c>
    </row>
    <row r="9" spans="1:10" ht="15" customHeight="1" x14ac:dyDescent="0.35">
      <c r="A9" t="s">
        <v>24</v>
      </c>
    </row>
    <row r="10" spans="1:10" ht="15" customHeight="1" x14ac:dyDescent="0.35">
      <c r="A10" s="35" t="s">
        <v>25</v>
      </c>
      <c r="B10" s="35"/>
      <c r="C10" s="35"/>
      <c r="D10" s="35"/>
      <c r="E10" s="35"/>
      <c r="F10" s="35"/>
      <c r="G10" s="35"/>
      <c r="H10" s="35"/>
    </row>
    <row r="11" spans="1:10" ht="15" customHeight="1" x14ac:dyDescent="0.35">
      <c r="A11" s="185" t="s">
        <v>26</v>
      </c>
      <c r="B11" s="169"/>
      <c r="C11" s="169"/>
      <c r="D11" s="169"/>
      <c r="E11" s="169"/>
      <c r="F11" s="169"/>
      <c r="G11" s="169"/>
      <c r="H11" s="169"/>
      <c r="I11" s="169"/>
    </row>
    <row r="12" spans="1:10" ht="26.25" customHeight="1" x14ac:dyDescent="0.35">
      <c r="A12" s="42" t="s">
        <v>27</v>
      </c>
      <c r="B12" s="42" t="s">
        <v>28</v>
      </c>
      <c r="C12" s="42" t="s">
        <v>29</v>
      </c>
      <c r="D12" s="42" t="s">
        <v>30</v>
      </c>
      <c r="E12" s="42" t="s">
        <v>31</v>
      </c>
      <c r="F12" s="42" t="s">
        <v>32</v>
      </c>
      <c r="G12" s="42" t="s">
        <v>33</v>
      </c>
      <c r="H12" s="42" t="s">
        <v>34</v>
      </c>
      <c r="I12" s="7" t="s">
        <v>35</v>
      </c>
      <c r="J12" t="s">
        <v>36</v>
      </c>
    </row>
    <row r="13" spans="1:10" ht="15" customHeight="1" x14ac:dyDescent="0.35">
      <c r="A13" s="114">
        <f>PASSPORT!B4</f>
        <v>0</v>
      </c>
      <c r="B13" s="43">
        <f>PROFILE!B10</f>
        <v>0</v>
      </c>
      <c r="C13" s="43">
        <f>PROFILE!F2</f>
        <v>0</v>
      </c>
      <c r="D13" s="43">
        <f>PROFILE!F3</f>
        <v>0</v>
      </c>
      <c r="E13" s="43">
        <f>PROFILE!F4</f>
        <v>0</v>
      </c>
      <c r="F13" s="43">
        <f>PROFILE!F5</f>
        <v>0</v>
      </c>
      <c r="G13" s="43">
        <f>PROFILE!F6</f>
        <v>0</v>
      </c>
      <c r="H13" s="43">
        <f>PROFILE!F7</f>
        <v>0</v>
      </c>
      <c r="I13" s="43">
        <f>PROFILE!F8</f>
        <v>0</v>
      </c>
      <c r="J13">
        <v>0.9</v>
      </c>
    </row>
    <row r="14" spans="1:10" ht="15" customHeight="1" x14ac:dyDescent="0.35">
      <c r="A14" s="114">
        <v>46125</v>
      </c>
      <c r="B14" s="43">
        <v>0.42</v>
      </c>
      <c r="C14" s="43">
        <v>0.45</v>
      </c>
      <c r="D14" s="43">
        <v>0.46</v>
      </c>
      <c r="E14" s="43">
        <v>0.44</v>
      </c>
      <c r="F14" s="43">
        <v>0.4</v>
      </c>
      <c r="G14" s="43">
        <v>0.55000000000000004</v>
      </c>
      <c r="H14" s="43">
        <v>0.42</v>
      </c>
      <c r="I14" s="43">
        <v>0.02</v>
      </c>
      <c r="J14">
        <v>0.9</v>
      </c>
    </row>
    <row r="15" spans="1:10" ht="25.5" customHeight="1" x14ac:dyDescent="0.35">
      <c r="A15" s="114">
        <v>46208</v>
      </c>
      <c r="B15" s="44">
        <v>0.44</v>
      </c>
      <c r="C15" s="43">
        <v>0.46</v>
      </c>
      <c r="D15" s="43">
        <v>0.48</v>
      </c>
      <c r="E15" s="43">
        <v>0.46</v>
      </c>
      <c r="F15" s="43">
        <v>0.42</v>
      </c>
      <c r="G15" s="43">
        <v>0.6</v>
      </c>
      <c r="H15" s="43">
        <v>0.45</v>
      </c>
      <c r="I15" s="43">
        <v>0.08</v>
      </c>
      <c r="J15">
        <v>0.9</v>
      </c>
    </row>
    <row r="16" spans="1:10" ht="25.5" customHeight="1" x14ac:dyDescent="0.35">
      <c r="A16" s="45" t="s">
        <v>37</v>
      </c>
      <c r="B16" s="46">
        <f>B15-B13</f>
        <v>0.44</v>
      </c>
      <c r="C16" s="31"/>
      <c r="D16" s="31"/>
      <c r="E16" s="31"/>
      <c r="F16" s="31"/>
      <c r="G16" s="31"/>
      <c r="H16" s="31"/>
      <c r="I16" s="31"/>
    </row>
    <row r="17" spans="1:12" ht="15" customHeight="1" x14ac:dyDescent="0.35">
      <c r="A17" s="47" t="s">
        <v>38</v>
      </c>
      <c r="B17" s="31" t="str">
        <f>IF(B16&gt;0,"Positive dynamics observed",IF(B16=0,"No change detected","Potential regression — follow-up assessment recommended"))</f>
        <v>Positive dynamics observed</v>
      </c>
      <c r="C17" s="31"/>
      <c r="D17" s="31"/>
      <c r="E17" s="31"/>
      <c r="F17" s="31"/>
      <c r="G17" s="31"/>
      <c r="H17" s="31"/>
      <c r="I17" s="31"/>
      <c r="L17" s="35"/>
    </row>
    <row r="18" spans="1:12" ht="15" customHeight="1" x14ac:dyDescent="0.35">
      <c r="A18" s="47" t="s">
        <v>39</v>
      </c>
      <c r="B18" s="31"/>
      <c r="C18" s="31"/>
      <c r="D18" s="31"/>
      <c r="E18" s="31"/>
      <c r="F18" s="31"/>
      <c r="G18" s="31"/>
      <c r="H18" s="31"/>
      <c r="I18" s="31"/>
    </row>
    <row r="19" spans="1:12" ht="15" customHeight="1" x14ac:dyDescent="0.35">
      <c r="A19" s="47"/>
      <c r="B19" s="31"/>
      <c r="C19" s="31"/>
      <c r="D19" s="31"/>
      <c r="E19" s="31"/>
      <c r="F19" s="31"/>
      <c r="G19" s="31"/>
      <c r="H19" s="31"/>
      <c r="I19" s="31"/>
    </row>
    <row r="20" spans="1:12" ht="15" customHeight="1" x14ac:dyDescent="0.35">
      <c r="A20" s="47"/>
      <c r="B20" s="31"/>
      <c r="C20" s="31"/>
      <c r="D20" s="31"/>
      <c r="E20" s="31"/>
      <c r="F20" s="31"/>
      <c r="G20" s="31"/>
      <c r="H20" s="31"/>
      <c r="I20" s="31"/>
    </row>
    <row r="21" spans="1:12" ht="15" customHeight="1" x14ac:dyDescent="0.35">
      <c r="A21" s="47"/>
      <c r="B21" s="31"/>
      <c r="C21" s="31"/>
      <c r="D21" s="31"/>
      <c r="E21" s="31"/>
      <c r="F21" s="31"/>
      <c r="G21" s="31"/>
      <c r="H21" s="31"/>
      <c r="I21" s="31"/>
    </row>
    <row r="22" spans="1:12" ht="21.75" customHeight="1" x14ac:dyDescent="0.35">
      <c r="A22" s="186" t="s">
        <v>40</v>
      </c>
      <c r="B22" s="169"/>
      <c r="C22" s="169"/>
      <c r="D22" s="169"/>
      <c r="E22" s="42"/>
      <c r="F22" s="42"/>
      <c r="G22" s="31"/>
      <c r="H22" s="31"/>
      <c r="I22" s="31"/>
    </row>
    <row r="23" spans="1:12" ht="15" customHeight="1" x14ac:dyDescent="0.35">
      <c r="A23" s="184" t="s">
        <v>41</v>
      </c>
      <c r="B23" s="169"/>
      <c r="C23" s="169"/>
      <c r="D23" s="169"/>
      <c r="E23" s="31"/>
      <c r="F23" s="31"/>
      <c r="G23" s="31"/>
      <c r="H23" s="31"/>
      <c r="I23" s="31"/>
    </row>
    <row r="24" spans="1:12" ht="15" customHeight="1" x14ac:dyDescent="0.35">
      <c r="A24" s="184" t="s">
        <v>42</v>
      </c>
      <c r="B24" s="169"/>
      <c r="C24" s="169"/>
      <c r="D24" s="169"/>
      <c r="E24" s="31"/>
      <c r="F24" s="31"/>
      <c r="G24" s="31"/>
      <c r="H24" s="31"/>
      <c r="I24" s="31"/>
    </row>
    <row r="25" spans="1:12" ht="15" customHeight="1" x14ac:dyDescent="0.35">
      <c r="A25" s="184" t="s">
        <v>43</v>
      </c>
      <c r="B25" s="169"/>
      <c r="C25" s="169"/>
      <c r="D25" s="169"/>
      <c r="E25" s="31"/>
      <c r="F25" s="31"/>
      <c r="G25" s="31"/>
      <c r="H25" s="31"/>
      <c r="I25" s="31"/>
    </row>
    <row r="26" spans="1:12" ht="15" customHeight="1" x14ac:dyDescent="0.35">
      <c r="A26" s="184" t="s">
        <v>44</v>
      </c>
      <c r="B26" s="169"/>
      <c r="C26" s="169"/>
      <c r="D26" s="169"/>
      <c r="E26" s="31"/>
      <c r="F26" s="31"/>
      <c r="G26" s="31"/>
      <c r="H26" s="31"/>
      <c r="I26" s="31"/>
    </row>
    <row r="27" spans="1:12" ht="15" customHeight="1" x14ac:dyDescent="0.35">
      <c r="B27" s="31"/>
      <c r="C27" s="31"/>
      <c r="D27" s="31"/>
      <c r="E27" s="31"/>
      <c r="F27" s="31"/>
      <c r="G27" s="31"/>
      <c r="H27" s="31"/>
      <c r="I27" s="31"/>
    </row>
    <row r="28" spans="1:12" ht="15" customHeight="1" x14ac:dyDescent="0.35">
      <c r="B28" s="31"/>
      <c r="C28" s="31"/>
      <c r="D28" s="31"/>
      <c r="E28" s="31"/>
      <c r="F28" s="31"/>
      <c r="G28" s="31"/>
      <c r="H28" s="31"/>
      <c r="I28" s="31"/>
    </row>
    <row r="29" spans="1:12" ht="15" customHeight="1" x14ac:dyDescent="0.35">
      <c r="B29" s="31"/>
      <c r="C29" s="31"/>
      <c r="D29" s="31"/>
      <c r="E29" s="31"/>
      <c r="F29" s="31"/>
      <c r="G29" s="31"/>
      <c r="H29" s="31"/>
      <c r="I29" s="31"/>
    </row>
  </sheetData>
  <mergeCells count="7">
    <mergeCell ref="A23:D23"/>
    <mergeCell ref="A2:I2"/>
    <mergeCell ref="A11:I11"/>
    <mergeCell ref="A22:D22"/>
    <mergeCell ref="A26:D26"/>
    <mergeCell ref="A25:D25"/>
    <mergeCell ref="A24:D24"/>
  </mergeCells>
  <pageMargins left="0.75" right="0.75" top="1" bottom="1" header="0.511811023622047" footer="0.51180555555555596"/>
  <pageSetup paperSize="9" orientation="portrait" horizontalDpi="300" verticalDpi="300"/>
  <headerFooter>
    <oddFooter>&amp;C&amp;8 &amp;K888888© 2025 Rabiga Sagyndykova · LOLA System · Resale and redistribution prohibited&amp;R&amp;8 Стр. &amp;P из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rgb="FF0D7D1A"/>
  </sheetPr>
  <dimension ref="A2:D9"/>
  <sheetViews>
    <sheetView tabSelected="1" zoomScaleNormal="100" workbookViewId="0">
      <selection activeCell="B4" sqref="B4"/>
    </sheetView>
  </sheetViews>
  <sheetFormatPr defaultColWidth="8.7265625" defaultRowHeight="14.5" x14ac:dyDescent="0.35"/>
  <cols>
    <col min="1" max="1" width="20.453125" style="1" customWidth="1"/>
    <col min="2" max="2" width="18.7265625" style="1" customWidth="1"/>
  </cols>
  <sheetData>
    <row r="2" spans="1:4" ht="15" customHeight="1" x14ac:dyDescent="0.35">
      <c r="A2" s="98" t="s">
        <v>45</v>
      </c>
      <c r="B2" s="205"/>
      <c r="D2" s="6"/>
    </row>
    <row r="3" spans="1:4" ht="15" customHeight="1" x14ac:dyDescent="0.35">
      <c r="A3" s="98" t="s">
        <v>46</v>
      </c>
      <c r="B3" s="206"/>
    </row>
    <row r="4" spans="1:4" ht="15" customHeight="1" x14ac:dyDescent="0.35">
      <c r="A4" s="98" t="s">
        <v>47</v>
      </c>
      <c r="B4" s="207"/>
    </row>
    <row r="5" spans="1:4" ht="26.25" customHeight="1" x14ac:dyDescent="0.35">
      <c r="A5" s="7" t="s">
        <v>48</v>
      </c>
      <c r="B5" s="208">
        <f>(B4-B3)/30.437</f>
        <v>0</v>
      </c>
    </row>
    <row r="8" spans="1:4" ht="19.5" customHeight="1" x14ac:dyDescent="0.35">
      <c r="A8" s="8" t="s">
        <v>49</v>
      </c>
      <c r="B8" s="9" t="s">
        <v>50</v>
      </c>
    </row>
    <row r="9" spans="1:4" ht="15" customHeight="1" x14ac:dyDescent="0.35">
      <c r="A9" s="10" t="s">
        <v>51</v>
      </c>
    </row>
  </sheetData>
  <sheetProtection algorithmName="SHA-512" hashValue="23FkK9AMpXOLbEcqH4OGluo6heezDE1kKN/gYAlSUw8N1NM/4k4eb9109LR5/3rTL55fRzJgoUDo1n7T8hrc6w==" saltValue="F0h0dsIaeMIZoqBHBWkFRA==" spinCount="100000" sheet="1" objects="1" scenarios="1" selectLockedCells="1"/>
  <dataValidations count="1">
    <dataValidation type="list" showInputMessage="1" showErrorMessage="1" errorTitle="Неверное значение" error="Выберите из списка: Нормативный или Терапевтический" promptTitle="Режим оценки" prompt="Нормативный — для типично развивающихся детей_x000a_Терапевтический — для детей с ОВЗ, ДЦП, РАС" sqref="B8" xr:uid="{00000000-0002-0000-0200-000000000000}">
      <formula1>"Normative,Therapeutic"</formula1>
      <formula2>0</formula2>
    </dataValidation>
  </dataValidations>
  <pageMargins left="0.75" right="0.75" top="1" bottom="1" header="0.511811023622047" footer="0.51180555555555596"/>
  <pageSetup paperSize="9" orientation="portrait" horizontalDpi="300" verticalDpi="300"/>
  <headerFooter>
    <oddFooter>&amp;C&amp;8 &amp;K888888© 2025 Rabiga Sagyndykova · LOLA System · Resale and redistribution prohibited&amp;R&amp;8 Стр. &amp;P из 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3" tint="0.39997558519241921"/>
  </sheetPr>
  <dimension ref="A1:I74"/>
  <sheetViews>
    <sheetView topLeftCell="A20" zoomScaleNormal="100" workbookViewId="0">
      <selection activeCell="D64" sqref="D64"/>
    </sheetView>
  </sheetViews>
  <sheetFormatPr defaultColWidth="9.1796875" defaultRowHeight="14.5" x14ac:dyDescent="0.35"/>
  <cols>
    <col min="1" max="1" width="10.7265625" style="11" customWidth="1"/>
    <col min="2" max="2" width="30.453125" style="11" customWidth="1"/>
    <col min="3" max="3" width="5.453125" style="12" customWidth="1"/>
    <col min="4" max="4" width="5.453125" style="11" customWidth="1"/>
    <col min="5" max="5" width="7.1796875" style="11" customWidth="1"/>
    <col min="6" max="6" width="7.54296875" style="11" customWidth="1"/>
    <col min="7" max="7" width="5.81640625" style="11" customWidth="1"/>
    <col min="8" max="8" width="17.26953125" style="11" customWidth="1"/>
    <col min="9" max="9" width="9.1796875" style="11" customWidth="1"/>
    <col min="10" max="16384" width="9.1796875" style="11"/>
  </cols>
  <sheetData>
    <row r="1" spans="1:8" ht="15" customHeight="1" x14ac:dyDescent="0.35">
      <c r="A1" s="187" t="s">
        <v>52</v>
      </c>
      <c r="B1" s="188"/>
      <c r="C1" s="189"/>
      <c r="D1" s="188"/>
      <c r="E1" s="188"/>
      <c r="F1" s="188"/>
    </row>
    <row r="2" spans="1:8" ht="15" customHeight="1" x14ac:dyDescent="0.35">
      <c r="A2" s="191" t="s">
        <v>53</v>
      </c>
      <c r="B2" s="188"/>
      <c r="C2" s="189"/>
      <c r="D2" s="188"/>
      <c r="E2" s="188"/>
      <c r="F2" s="188"/>
    </row>
    <row r="3" spans="1:8" ht="15" customHeight="1" x14ac:dyDescent="0.35">
      <c r="A3" s="190" t="s">
        <v>54</v>
      </c>
      <c r="B3" s="188"/>
      <c r="C3" s="189"/>
      <c r="D3" s="188"/>
      <c r="E3" s="188"/>
      <c r="F3" s="188"/>
    </row>
    <row r="4" spans="1:8" ht="15" customHeight="1" x14ac:dyDescent="0.35">
      <c r="A4" s="191" t="s">
        <v>55</v>
      </c>
      <c r="B4" s="188"/>
      <c r="C4" s="189"/>
      <c r="D4" s="188"/>
      <c r="E4" s="188"/>
      <c r="F4" s="188"/>
    </row>
    <row r="5" spans="1:8" ht="15" customHeight="1" x14ac:dyDescent="0.35">
      <c r="A5" s="191" t="s">
        <v>56</v>
      </c>
      <c r="B5" s="188"/>
      <c r="C5" s="189"/>
      <c r="D5" s="188"/>
      <c r="E5" s="188"/>
      <c r="F5" s="188"/>
    </row>
    <row r="6" spans="1:8" ht="15" customHeight="1" x14ac:dyDescent="0.35">
      <c r="A6" s="191" t="s">
        <v>57</v>
      </c>
      <c r="B6" s="188"/>
      <c r="C6" s="189"/>
      <c r="D6" s="188"/>
      <c r="E6" s="188"/>
      <c r="F6" s="188"/>
    </row>
    <row r="7" spans="1:8" ht="16.5" customHeight="1" x14ac:dyDescent="0.35">
      <c r="A7" s="191" t="s">
        <v>58</v>
      </c>
      <c r="B7" s="188"/>
      <c r="C7" s="189"/>
      <c r="D7" s="188"/>
      <c r="E7" s="188"/>
      <c r="F7" s="188"/>
    </row>
    <row r="8" spans="1:8" ht="30" customHeight="1" x14ac:dyDescent="0.35">
      <c r="A8" s="107" t="s">
        <v>59</v>
      </c>
      <c r="B8" s="107" t="s">
        <v>60</v>
      </c>
      <c r="C8" s="107" t="s">
        <v>61</v>
      </c>
      <c r="D8" s="107" t="s">
        <v>62</v>
      </c>
      <c r="E8" s="107" t="s">
        <v>63</v>
      </c>
      <c r="F8" s="107" t="s">
        <v>64</v>
      </c>
      <c r="G8" s="107" t="s">
        <v>65</v>
      </c>
      <c r="H8" s="13" t="s">
        <v>66</v>
      </c>
    </row>
    <row r="9" spans="1:8" ht="14.25" customHeight="1" x14ac:dyDescent="0.35">
      <c r="A9" s="190" t="s">
        <v>67</v>
      </c>
      <c r="B9" s="188"/>
      <c r="C9" s="189"/>
      <c r="D9" s="188"/>
      <c r="E9" s="188"/>
      <c r="F9" s="188"/>
      <c r="G9" s="109"/>
    </row>
    <row r="10" spans="1:8" ht="15" customHeight="1" x14ac:dyDescent="0.35">
      <c r="A10" s="109" t="s">
        <v>29</v>
      </c>
      <c r="B10" s="109" t="s">
        <v>68</v>
      </c>
      <c r="C10" s="14" t="s">
        <v>69</v>
      </c>
      <c r="D10" s="15"/>
      <c r="E10" s="17">
        <f t="shared" ref="E10:E22" si="0">D10/2*100</f>
        <v>0</v>
      </c>
      <c r="F10" s="17">
        <f t="shared" ref="F10:F22" si="1">IF(E10&gt;=80,1,0)</f>
        <v>0</v>
      </c>
      <c r="G10" s="17">
        <f t="shared" ref="G10:G22" si="2">AVERAGE(VALUE(LEFT(C10,FIND("-",C10)-1)),VALUE(RIGHT(C10,LEN(C10)-FIND("-",C10))))</f>
        <v>2.5</v>
      </c>
      <c r="H10" s="16" t="s">
        <v>70</v>
      </c>
    </row>
    <row r="11" spans="1:8" ht="15" customHeight="1" x14ac:dyDescent="0.35">
      <c r="A11" s="109" t="s">
        <v>29</v>
      </c>
      <c r="B11" s="109" t="s">
        <v>71</v>
      </c>
      <c r="C11" s="14" t="s">
        <v>69</v>
      </c>
      <c r="D11" s="15"/>
      <c r="E11" s="17">
        <f t="shared" si="0"/>
        <v>0</v>
      </c>
      <c r="F11" s="17">
        <f t="shared" si="1"/>
        <v>0</v>
      </c>
      <c r="G11" s="17">
        <f t="shared" si="2"/>
        <v>2.5</v>
      </c>
      <c r="H11" s="16" t="s">
        <v>72</v>
      </c>
    </row>
    <row r="12" spans="1:8" ht="15" customHeight="1" x14ac:dyDescent="0.35">
      <c r="A12" s="109" t="s">
        <v>29</v>
      </c>
      <c r="B12" s="109" t="s">
        <v>73</v>
      </c>
      <c r="C12" s="14" t="s">
        <v>74</v>
      </c>
      <c r="D12" s="15"/>
      <c r="E12" s="17">
        <f t="shared" si="0"/>
        <v>0</v>
      </c>
      <c r="F12" s="17">
        <f t="shared" si="1"/>
        <v>0</v>
      </c>
      <c r="G12" s="17">
        <f t="shared" si="2"/>
        <v>3.5</v>
      </c>
      <c r="H12" s="16" t="s">
        <v>75</v>
      </c>
    </row>
    <row r="13" spans="1:8" ht="15" customHeight="1" x14ac:dyDescent="0.35">
      <c r="A13" s="109" t="s">
        <v>29</v>
      </c>
      <c r="B13" s="109" t="s">
        <v>76</v>
      </c>
      <c r="C13" s="14" t="s">
        <v>77</v>
      </c>
      <c r="D13" s="15"/>
      <c r="E13" s="17">
        <f t="shared" si="0"/>
        <v>0</v>
      </c>
      <c r="F13" s="17">
        <f t="shared" si="1"/>
        <v>0</v>
      </c>
      <c r="G13" s="17">
        <f t="shared" si="2"/>
        <v>4.5</v>
      </c>
      <c r="H13" s="16" t="s">
        <v>78</v>
      </c>
    </row>
    <row r="14" spans="1:8" ht="15" customHeight="1" x14ac:dyDescent="0.35">
      <c r="A14" s="109" t="s">
        <v>29</v>
      </c>
      <c r="B14" s="109" t="s">
        <v>79</v>
      </c>
      <c r="C14" s="14" t="s">
        <v>74</v>
      </c>
      <c r="D14" s="15"/>
      <c r="E14" s="17">
        <f t="shared" si="0"/>
        <v>0</v>
      </c>
      <c r="F14" s="17">
        <f t="shared" si="1"/>
        <v>0</v>
      </c>
      <c r="G14" s="17">
        <f t="shared" si="2"/>
        <v>3.5</v>
      </c>
      <c r="H14" s="16" t="s">
        <v>80</v>
      </c>
    </row>
    <row r="15" spans="1:8" ht="15" customHeight="1" x14ac:dyDescent="0.35">
      <c r="A15" s="109" t="s">
        <v>29</v>
      </c>
      <c r="B15" s="109" t="s">
        <v>81</v>
      </c>
      <c r="C15" s="14" t="s">
        <v>82</v>
      </c>
      <c r="D15" s="15"/>
      <c r="E15" s="17">
        <f t="shared" si="0"/>
        <v>0</v>
      </c>
      <c r="F15" s="17">
        <f t="shared" si="1"/>
        <v>0</v>
      </c>
      <c r="G15" s="17">
        <f t="shared" si="2"/>
        <v>5.5</v>
      </c>
      <c r="H15" s="16" t="s">
        <v>83</v>
      </c>
    </row>
    <row r="16" spans="1:8" ht="15" customHeight="1" x14ac:dyDescent="0.35">
      <c r="A16" s="109" t="s">
        <v>29</v>
      </c>
      <c r="B16" s="109" t="s">
        <v>84</v>
      </c>
      <c r="C16" s="14" t="s">
        <v>85</v>
      </c>
      <c r="D16" s="15"/>
      <c r="E16" s="17">
        <f t="shared" si="0"/>
        <v>0</v>
      </c>
      <c r="F16" s="17">
        <f t="shared" si="1"/>
        <v>0</v>
      </c>
      <c r="G16" s="17">
        <f t="shared" si="2"/>
        <v>6.5</v>
      </c>
      <c r="H16" s="16" t="s">
        <v>86</v>
      </c>
    </row>
    <row r="17" spans="1:8" ht="15" customHeight="1" x14ac:dyDescent="0.35">
      <c r="A17" s="109" t="s">
        <v>29</v>
      </c>
      <c r="B17" s="109" t="s">
        <v>87</v>
      </c>
      <c r="C17" s="14" t="s">
        <v>88</v>
      </c>
      <c r="D17" s="15"/>
      <c r="E17" s="17">
        <f t="shared" si="0"/>
        <v>0</v>
      </c>
      <c r="F17" s="17">
        <f t="shared" si="1"/>
        <v>0</v>
      </c>
      <c r="G17" s="17">
        <f t="shared" si="2"/>
        <v>8</v>
      </c>
      <c r="H17" s="16" t="s">
        <v>89</v>
      </c>
    </row>
    <row r="18" spans="1:8" ht="15" customHeight="1" x14ac:dyDescent="0.35">
      <c r="A18" s="109" t="s">
        <v>29</v>
      </c>
      <c r="B18" s="109" t="s">
        <v>90</v>
      </c>
      <c r="C18" s="14" t="s">
        <v>91</v>
      </c>
      <c r="D18" s="15"/>
      <c r="E18" s="17">
        <f t="shared" si="0"/>
        <v>0</v>
      </c>
      <c r="F18" s="17">
        <f t="shared" si="1"/>
        <v>0</v>
      </c>
      <c r="G18" s="17">
        <f t="shared" si="2"/>
        <v>7</v>
      </c>
      <c r="H18" s="16" t="s">
        <v>92</v>
      </c>
    </row>
    <row r="19" spans="1:8" ht="15" customHeight="1" x14ac:dyDescent="0.35">
      <c r="A19" s="109" t="s">
        <v>29</v>
      </c>
      <c r="B19" s="109" t="s">
        <v>93</v>
      </c>
      <c r="C19" s="14" t="s">
        <v>94</v>
      </c>
      <c r="D19" s="15"/>
      <c r="E19" s="17">
        <f t="shared" si="0"/>
        <v>0</v>
      </c>
      <c r="F19" s="17">
        <f t="shared" si="1"/>
        <v>0</v>
      </c>
      <c r="G19" s="17">
        <f t="shared" si="2"/>
        <v>8.5</v>
      </c>
      <c r="H19" s="16" t="s">
        <v>95</v>
      </c>
    </row>
    <row r="20" spans="1:8" ht="15" customHeight="1" x14ac:dyDescent="0.35">
      <c r="A20" s="109" t="s">
        <v>29</v>
      </c>
      <c r="B20" s="109" t="s">
        <v>96</v>
      </c>
      <c r="C20" s="14" t="s">
        <v>97</v>
      </c>
      <c r="D20" s="15"/>
      <c r="E20" s="17">
        <f t="shared" si="0"/>
        <v>0</v>
      </c>
      <c r="F20" s="17">
        <f t="shared" si="1"/>
        <v>0</v>
      </c>
      <c r="G20" s="17">
        <f t="shared" si="2"/>
        <v>10</v>
      </c>
      <c r="H20" s="16" t="s">
        <v>98</v>
      </c>
    </row>
    <row r="21" spans="1:8" ht="15" customHeight="1" x14ac:dyDescent="0.35">
      <c r="A21" s="109" t="s">
        <v>29</v>
      </c>
      <c r="B21" s="109" t="s">
        <v>99</v>
      </c>
      <c r="C21" s="14" t="s">
        <v>100</v>
      </c>
      <c r="D21" s="15"/>
      <c r="E21" s="17">
        <f t="shared" si="0"/>
        <v>0</v>
      </c>
      <c r="F21" s="17">
        <f t="shared" si="1"/>
        <v>0</v>
      </c>
      <c r="G21" s="17">
        <f t="shared" si="2"/>
        <v>10.5</v>
      </c>
      <c r="H21" s="16" t="s">
        <v>101</v>
      </c>
    </row>
    <row r="22" spans="1:8" ht="15" customHeight="1" x14ac:dyDescent="0.35">
      <c r="A22" s="109" t="s">
        <v>29</v>
      </c>
      <c r="B22" s="109" t="s">
        <v>102</v>
      </c>
      <c r="C22" s="14" t="s">
        <v>103</v>
      </c>
      <c r="D22" s="15"/>
      <c r="E22" s="17">
        <f t="shared" si="0"/>
        <v>0</v>
      </c>
      <c r="F22" s="17">
        <f t="shared" si="1"/>
        <v>0</v>
      </c>
      <c r="G22" s="17">
        <f t="shared" si="2"/>
        <v>12</v>
      </c>
      <c r="H22" s="16" t="s">
        <v>104</v>
      </c>
    </row>
    <row r="23" spans="1:8" ht="15" customHeight="1" x14ac:dyDescent="0.35">
      <c r="A23" s="190" t="s">
        <v>105</v>
      </c>
      <c r="B23" s="188"/>
      <c r="C23" s="189"/>
      <c r="D23" s="188"/>
      <c r="E23" s="188"/>
      <c r="F23" s="188"/>
      <c r="G23" s="109"/>
    </row>
    <row r="24" spans="1:8" ht="15" customHeight="1" x14ac:dyDescent="0.35">
      <c r="A24" s="109" t="s">
        <v>30</v>
      </c>
      <c r="B24" s="109" t="s">
        <v>106</v>
      </c>
      <c r="C24" s="14" t="s">
        <v>69</v>
      </c>
      <c r="D24" s="15"/>
      <c r="E24" s="17">
        <f t="shared" ref="E24:E31" si="3">D24/2*100</f>
        <v>0</v>
      </c>
      <c r="F24" s="17">
        <f t="shared" ref="F24:F31" si="4">IF(E24&gt;=80,1,0)</f>
        <v>0</v>
      </c>
      <c r="G24" s="17">
        <f t="shared" ref="G24:G31" si="5">AVERAGE(VALUE(LEFT(C24,FIND("-",C24)-1)),VALUE(RIGHT(C24,LEN(C24)-FIND("-",C24))))</f>
        <v>2.5</v>
      </c>
      <c r="H24" s="16" t="s">
        <v>107</v>
      </c>
    </row>
    <row r="25" spans="1:8" ht="15" customHeight="1" x14ac:dyDescent="0.35">
      <c r="A25" s="109" t="s">
        <v>30</v>
      </c>
      <c r="B25" s="109" t="s">
        <v>108</v>
      </c>
      <c r="C25" s="14" t="s">
        <v>74</v>
      </c>
      <c r="D25" s="15"/>
      <c r="E25" s="17">
        <f t="shared" si="3"/>
        <v>0</v>
      </c>
      <c r="F25" s="17">
        <f t="shared" si="4"/>
        <v>0</v>
      </c>
      <c r="G25" s="17">
        <f t="shared" si="5"/>
        <v>3.5</v>
      </c>
      <c r="H25" s="16" t="s">
        <v>109</v>
      </c>
    </row>
    <row r="26" spans="1:8" ht="15" customHeight="1" x14ac:dyDescent="0.35">
      <c r="A26" s="109" t="s">
        <v>30</v>
      </c>
      <c r="B26" s="109" t="s">
        <v>110</v>
      </c>
      <c r="C26" s="14" t="s">
        <v>74</v>
      </c>
      <c r="D26" s="15"/>
      <c r="E26" s="17">
        <f t="shared" si="3"/>
        <v>0</v>
      </c>
      <c r="F26" s="17">
        <f t="shared" si="4"/>
        <v>0</v>
      </c>
      <c r="G26" s="17">
        <f t="shared" si="5"/>
        <v>3.5</v>
      </c>
      <c r="H26" s="16" t="s">
        <v>111</v>
      </c>
    </row>
    <row r="27" spans="1:8" ht="15" customHeight="1" x14ac:dyDescent="0.35">
      <c r="A27" s="109" t="s">
        <v>30</v>
      </c>
      <c r="B27" s="109" t="s">
        <v>112</v>
      </c>
      <c r="C27" s="14" t="s">
        <v>77</v>
      </c>
      <c r="D27" s="15"/>
      <c r="E27" s="17">
        <f t="shared" si="3"/>
        <v>0</v>
      </c>
      <c r="F27" s="17">
        <f t="shared" si="4"/>
        <v>0</v>
      </c>
      <c r="G27" s="17">
        <f t="shared" si="5"/>
        <v>4.5</v>
      </c>
      <c r="H27" s="16" t="s">
        <v>113</v>
      </c>
    </row>
    <row r="28" spans="1:8" ht="15" customHeight="1" x14ac:dyDescent="0.35">
      <c r="A28" s="109" t="s">
        <v>30</v>
      </c>
      <c r="B28" s="109" t="s">
        <v>114</v>
      </c>
      <c r="C28" s="14" t="s">
        <v>85</v>
      </c>
      <c r="D28" s="15"/>
      <c r="E28" s="17">
        <f t="shared" si="3"/>
        <v>0</v>
      </c>
      <c r="F28" s="17">
        <f t="shared" si="4"/>
        <v>0</v>
      </c>
      <c r="G28" s="17">
        <f t="shared" si="5"/>
        <v>6.5</v>
      </c>
      <c r="H28" s="16" t="s">
        <v>115</v>
      </c>
    </row>
    <row r="29" spans="1:8" ht="15" customHeight="1" x14ac:dyDescent="0.35">
      <c r="A29" s="109" t="s">
        <v>30</v>
      </c>
      <c r="B29" s="109" t="s">
        <v>116</v>
      </c>
      <c r="C29" s="14" t="s">
        <v>91</v>
      </c>
      <c r="D29" s="15"/>
      <c r="E29" s="17">
        <f t="shared" si="3"/>
        <v>0</v>
      </c>
      <c r="F29" s="17">
        <f t="shared" si="4"/>
        <v>0</v>
      </c>
      <c r="G29" s="17">
        <f t="shared" si="5"/>
        <v>7</v>
      </c>
      <c r="H29" s="16" t="s">
        <v>117</v>
      </c>
    </row>
    <row r="30" spans="1:8" ht="15" customHeight="1" x14ac:dyDescent="0.35">
      <c r="A30" s="109" t="s">
        <v>30</v>
      </c>
      <c r="B30" s="109" t="s">
        <v>118</v>
      </c>
      <c r="C30" s="14" t="s">
        <v>119</v>
      </c>
      <c r="D30" s="15"/>
      <c r="E30" s="17">
        <f t="shared" si="3"/>
        <v>0</v>
      </c>
      <c r="F30" s="17">
        <f t="shared" si="4"/>
        <v>0</v>
      </c>
      <c r="G30" s="17">
        <f t="shared" si="5"/>
        <v>9.5</v>
      </c>
      <c r="H30" s="16" t="s">
        <v>120</v>
      </c>
    </row>
    <row r="31" spans="1:8" ht="15" customHeight="1" x14ac:dyDescent="0.35">
      <c r="A31" s="109" t="s">
        <v>30</v>
      </c>
      <c r="B31" s="109" t="s">
        <v>121</v>
      </c>
      <c r="C31" s="14" t="s">
        <v>122</v>
      </c>
      <c r="D31" s="15"/>
      <c r="E31" s="17">
        <f t="shared" si="3"/>
        <v>0</v>
      </c>
      <c r="F31" s="17">
        <f t="shared" si="4"/>
        <v>0</v>
      </c>
      <c r="G31" s="17">
        <f t="shared" si="5"/>
        <v>11</v>
      </c>
      <c r="H31" s="16" t="s">
        <v>123</v>
      </c>
    </row>
    <row r="32" spans="1:8" ht="15" customHeight="1" x14ac:dyDescent="0.35">
      <c r="A32" s="190" t="s">
        <v>124</v>
      </c>
      <c r="B32" s="188"/>
      <c r="C32" s="189"/>
      <c r="D32" s="188"/>
      <c r="E32" s="188"/>
      <c r="F32" s="188"/>
      <c r="G32" s="109"/>
    </row>
    <row r="33" spans="1:8" ht="15" customHeight="1" x14ac:dyDescent="0.35">
      <c r="A33" s="109" t="s">
        <v>125</v>
      </c>
      <c r="B33" s="109" t="s">
        <v>126</v>
      </c>
      <c r="C33" s="14" t="s">
        <v>127</v>
      </c>
      <c r="D33" s="15"/>
      <c r="E33" s="17">
        <f t="shared" ref="E33:E39" si="6">D33/2*100</f>
        <v>0</v>
      </c>
      <c r="F33" s="17">
        <f t="shared" ref="F33:F39" si="7">IF(E33&gt;=80,1,0)</f>
        <v>0</v>
      </c>
      <c r="G33" s="17">
        <f t="shared" ref="G33:G39" si="8">AVERAGE(VALUE(LEFT(C33,FIND("-",C33)-1)),VALUE(RIGHT(C33,LEN(C33)-FIND("-",C33))))</f>
        <v>1.5</v>
      </c>
      <c r="H33" s="16" t="s">
        <v>128</v>
      </c>
    </row>
    <row r="34" spans="1:8" ht="15" customHeight="1" x14ac:dyDescent="0.35">
      <c r="A34" s="109" t="s">
        <v>125</v>
      </c>
      <c r="B34" s="109" t="s">
        <v>129</v>
      </c>
      <c r="C34" s="14" t="s">
        <v>69</v>
      </c>
      <c r="D34" s="15"/>
      <c r="E34" s="17">
        <f t="shared" si="6"/>
        <v>0</v>
      </c>
      <c r="F34" s="17">
        <f t="shared" si="7"/>
        <v>0</v>
      </c>
      <c r="G34" s="17">
        <f t="shared" si="8"/>
        <v>2.5</v>
      </c>
      <c r="H34" s="16" t="s">
        <v>130</v>
      </c>
    </row>
    <row r="35" spans="1:8" ht="15" customHeight="1" x14ac:dyDescent="0.35">
      <c r="A35" s="109" t="s">
        <v>125</v>
      </c>
      <c r="B35" s="109" t="s">
        <v>131</v>
      </c>
      <c r="C35" s="14" t="s">
        <v>127</v>
      </c>
      <c r="D35" s="15"/>
      <c r="E35" s="17">
        <f t="shared" si="6"/>
        <v>0</v>
      </c>
      <c r="F35" s="17">
        <f t="shared" si="7"/>
        <v>0</v>
      </c>
      <c r="G35" s="17">
        <f t="shared" si="8"/>
        <v>1.5</v>
      </c>
      <c r="H35" s="16" t="s">
        <v>132</v>
      </c>
    </row>
    <row r="36" spans="1:8" ht="15" customHeight="1" x14ac:dyDescent="0.35">
      <c r="A36" s="109" t="s">
        <v>125</v>
      </c>
      <c r="B36" s="109" t="s">
        <v>133</v>
      </c>
      <c r="C36" s="14" t="s">
        <v>74</v>
      </c>
      <c r="D36" s="15"/>
      <c r="E36" s="17">
        <f t="shared" si="6"/>
        <v>0</v>
      </c>
      <c r="F36" s="17">
        <f t="shared" si="7"/>
        <v>0</v>
      </c>
      <c r="G36" s="17">
        <f t="shared" si="8"/>
        <v>3.5</v>
      </c>
      <c r="H36" s="16" t="s">
        <v>134</v>
      </c>
    </row>
    <row r="37" spans="1:8" ht="15" customHeight="1" x14ac:dyDescent="0.35">
      <c r="A37" s="109" t="s">
        <v>125</v>
      </c>
      <c r="B37" s="109" t="s">
        <v>135</v>
      </c>
      <c r="C37" s="14" t="s">
        <v>74</v>
      </c>
      <c r="D37" s="15"/>
      <c r="E37" s="17">
        <f t="shared" si="6"/>
        <v>0</v>
      </c>
      <c r="F37" s="17">
        <f t="shared" si="7"/>
        <v>0</v>
      </c>
      <c r="G37" s="17">
        <f t="shared" si="8"/>
        <v>3.5</v>
      </c>
      <c r="H37" s="16" t="s">
        <v>136</v>
      </c>
    </row>
    <row r="38" spans="1:8" ht="15" customHeight="1" x14ac:dyDescent="0.35">
      <c r="A38" s="109" t="s">
        <v>125</v>
      </c>
      <c r="B38" s="109" t="s">
        <v>137</v>
      </c>
      <c r="C38" s="14" t="s">
        <v>138</v>
      </c>
      <c r="D38" s="15"/>
      <c r="E38" s="17">
        <f t="shared" si="6"/>
        <v>0</v>
      </c>
      <c r="F38" s="17">
        <f t="shared" si="7"/>
        <v>0</v>
      </c>
      <c r="G38" s="17">
        <f t="shared" si="8"/>
        <v>5</v>
      </c>
      <c r="H38" s="16" t="s">
        <v>139</v>
      </c>
    </row>
    <row r="39" spans="1:8" ht="15" customHeight="1" x14ac:dyDescent="0.35">
      <c r="A39" s="109" t="s">
        <v>125</v>
      </c>
      <c r="B39" s="109" t="s">
        <v>140</v>
      </c>
      <c r="C39" s="14" t="s">
        <v>141</v>
      </c>
      <c r="D39" s="15"/>
      <c r="E39" s="17">
        <f t="shared" si="6"/>
        <v>0</v>
      </c>
      <c r="F39" s="17">
        <f t="shared" si="7"/>
        <v>0</v>
      </c>
      <c r="G39" s="17">
        <f t="shared" si="8"/>
        <v>7.5</v>
      </c>
      <c r="H39" s="16" t="s">
        <v>142</v>
      </c>
    </row>
    <row r="40" spans="1:8" ht="15" customHeight="1" x14ac:dyDescent="0.35">
      <c r="A40" s="190" t="s">
        <v>143</v>
      </c>
      <c r="B40" s="188"/>
      <c r="C40" s="189"/>
      <c r="D40" s="188"/>
      <c r="E40" s="188"/>
      <c r="F40" s="188"/>
      <c r="G40" s="109"/>
    </row>
    <row r="41" spans="1:8" ht="15" customHeight="1" x14ac:dyDescent="0.35">
      <c r="A41" s="109" t="s">
        <v>31</v>
      </c>
      <c r="B41" s="109" t="s">
        <v>144</v>
      </c>
      <c r="C41" s="18" t="s">
        <v>69</v>
      </c>
      <c r="D41" s="15"/>
      <c r="E41" s="17">
        <f t="shared" ref="E41:E48" si="9">D41/2*100</f>
        <v>0</v>
      </c>
      <c r="F41" s="17">
        <f t="shared" ref="F41:F48" si="10">IF(E41&gt;=80,1,0)</f>
        <v>0</v>
      </c>
      <c r="G41" s="17">
        <f t="shared" ref="G41:G48" si="11">AVERAGE(VALUE(LEFT(C41,FIND("-",C41)-1)),VALUE(RIGHT(C41,LEN(C41)-FIND("-",C41))))</f>
        <v>2.5</v>
      </c>
      <c r="H41" s="16" t="s">
        <v>145</v>
      </c>
    </row>
    <row r="42" spans="1:8" ht="15" customHeight="1" x14ac:dyDescent="0.35">
      <c r="A42" s="109" t="s">
        <v>31</v>
      </c>
      <c r="B42" s="109" t="s">
        <v>146</v>
      </c>
      <c r="C42" s="18" t="s">
        <v>82</v>
      </c>
      <c r="D42" s="15"/>
      <c r="E42" s="17">
        <f t="shared" si="9"/>
        <v>0</v>
      </c>
      <c r="F42" s="17">
        <f t="shared" si="10"/>
        <v>0</v>
      </c>
      <c r="G42" s="17">
        <f t="shared" si="11"/>
        <v>5.5</v>
      </c>
      <c r="H42" s="16" t="s">
        <v>147</v>
      </c>
    </row>
    <row r="43" spans="1:8" ht="15" customHeight="1" x14ac:dyDescent="0.35">
      <c r="A43" s="109" t="s">
        <v>31</v>
      </c>
      <c r="B43" s="109" t="s">
        <v>148</v>
      </c>
      <c r="C43" s="18" t="s">
        <v>85</v>
      </c>
      <c r="D43" s="15"/>
      <c r="E43" s="17">
        <f t="shared" si="9"/>
        <v>0</v>
      </c>
      <c r="F43" s="17">
        <f t="shared" si="10"/>
        <v>0</v>
      </c>
      <c r="G43" s="17">
        <f t="shared" si="11"/>
        <v>6.5</v>
      </c>
      <c r="H43" s="16" t="s">
        <v>149</v>
      </c>
    </row>
    <row r="44" spans="1:8" ht="15" customHeight="1" x14ac:dyDescent="0.35">
      <c r="A44" s="109" t="s">
        <v>31</v>
      </c>
      <c r="B44" s="109" t="s">
        <v>150</v>
      </c>
      <c r="C44" s="18" t="s">
        <v>85</v>
      </c>
      <c r="D44" s="15"/>
      <c r="E44" s="17">
        <f t="shared" si="9"/>
        <v>0</v>
      </c>
      <c r="F44" s="17">
        <f t="shared" si="10"/>
        <v>0</v>
      </c>
      <c r="G44" s="17">
        <f t="shared" si="11"/>
        <v>6.5</v>
      </c>
      <c r="H44" s="16" t="s">
        <v>151</v>
      </c>
    </row>
    <row r="45" spans="1:8" ht="15" customHeight="1" x14ac:dyDescent="0.35">
      <c r="A45" s="109" t="s">
        <v>31</v>
      </c>
      <c r="B45" s="109" t="s">
        <v>152</v>
      </c>
      <c r="C45" s="18" t="s">
        <v>88</v>
      </c>
      <c r="D45" s="15"/>
      <c r="E45" s="17">
        <f t="shared" si="9"/>
        <v>0</v>
      </c>
      <c r="F45" s="17">
        <f t="shared" si="10"/>
        <v>0</v>
      </c>
      <c r="G45" s="17">
        <f t="shared" si="11"/>
        <v>8</v>
      </c>
      <c r="H45" s="16" t="s">
        <v>153</v>
      </c>
    </row>
    <row r="46" spans="1:8" ht="15" customHeight="1" x14ac:dyDescent="0.35">
      <c r="A46" s="109" t="s">
        <v>31</v>
      </c>
      <c r="B46" s="109" t="s">
        <v>154</v>
      </c>
      <c r="C46" s="18" t="s">
        <v>155</v>
      </c>
      <c r="D46" s="15"/>
      <c r="E46" s="17">
        <f t="shared" si="9"/>
        <v>0</v>
      </c>
      <c r="F46" s="17">
        <f t="shared" si="10"/>
        <v>0</v>
      </c>
      <c r="G46" s="17">
        <f t="shared" si="11"/>
        <v>9</v>
      </c>
      <c r="H46" s="16" t="s">
        <v>156</v>
      </c>
    </row>
    <row r="47" spans="1:8" ht="15" customHeight="1" x14ac:dyDescent="0.35">
      <c r="A47" s="109" t="s">
        <v>31</v>
      </c>
      <c r="B47" s="109" t="s">
        <v>157</v>
      </c>
      <c r="C47" s="18" t="s">
        <v>97</v>
      </c>
      <c r="D47" s="15"/>
      <c r="E47" s="17">
        <f t="shared" si="9"/>
        <v>0</v>
      </c>
      <c r="F47" s="17">
        <f t="shared" si="10"/>
        <v>0</v>
      </c>
      <c r="G47" s="17">
        <f t="shared" si="11"/>
        <v>10</v>
      </c>
      <c r="H47" s="16" t="s">
        <v>158</v>
      </c>
    </row>
    <row r="48" spans="1:8" ht="15" customHeight="1" x14ac:dyDescent="0.35">
      <c r="A48" s="109" t="s">
        <v>31</v>
      </c>
      <c r="B48" s="109" t="s">
        <v>159</v>
      </c>
      <c r="C48" s="18" t="s">
        <v>160</v>
      </c>
      <c r="D48" s="15"/>
      <c r="E48" s="17">
        <f t="shared" si="9"/>
        <v>0</v>
      </c>
      <c r="F48" s="17">
        <f t="shared" si="10"/>
        <v>0</v>
      </c>
      <c r="G48" s="17">
        <f t="shared" si="11"/>
        <v>12</v>
      </c>
      <c r="H48" s="16" t="s">
        <v>161</v>
      </c>
    </row>
    <row r="49" spans="1:8" ht="15" customHeight="1" x14ac:dyDescent="0.35">
      <c r="A49" s="190" t="s">
        <v>162</v>
      </c>
      <c r="B49" s="188"/>
      <c r="C49" s="189"/>
      <c r="D49" s="188"/>
      <c r="E49" s="188"/>
      <c r="F49" s="188"/>
      <c r="G49" s="109"/>
    </row>
    <row r="50" spans="1:8" ht="15" customHeight="1" x14ac:dyDescent="0.35">
      <c r="A50" s="109" t="s">
        <v>32</v>
      </c>
      <c r="B50" s="109" t="s">
        <v>163</v>
      </c>
      <c r="C50" s="14" t="s">
        <v>69</v>
      </c>
      <c r="D50" s="15"/>
      <c r="E50" s="17">
        <f>D50/2*100</f>
        <v>0</v>
      </c>
      <c r="F50" s="17">
        <f>IF(E50&gt;=80,1,0)</f>
        <v>0</v>
      </c>
      <c r="G50" s="17">
        <f>AVERAGE(VALUE(LEFT(C50,FIND("-",C50)-1)),VALUE(RIGHT(C50,LEN(C50)-FIND("-",C50))))</f>
        <v>2.5</v>
      </c>
      <c r="H50" s="16" t="s">
        <v>164</v>
      </c>
    </row>
    <row r="51" spans="1:8" ht="15" customHeight="1" x14ac:dyDescent="0.35">
      <c r="A51" s="109" t="s">
        <v>32</v>
      </c>
      <c r="B51" s="109" t="s">
        <v>165</v>
      </c>
      <c r="C51" s="14" t="s">
        <v>91</v>
      </c>
      <c r="D51" s="15"/>
      <c r="E51" s="17">
        <f>D51/2*100</f>
        <v>0</v>
      </c>
      <c r="F51" s="17">
        <f>IF(E51&gt;=80,1,0)</f>
        <v>0</v>
      </c>
      <c r="G51" s="17">
        <f>AVERAGE(VALUE(LEFT(C51,FIND("-",C51)-1)),VALUE(RIGHT(C51,LEN(C51)-FIND("-",C51))))</f>
        <v>7</v>
      </c>
      <c r="H51" s="16" t="s">
        <v>166</v>
      </c>
    </row>
    <row r="52" spans="1:8" ht="15" customHeight="1" x14ac:dyDescent="0.35">
      <c r="A52" s="109" t="s">
        <v>32</v>
      </c>
      <c r="B52" s="109" t="s">
        <v>167</v>
      </c>
      <c r="C52" s="14" t="s">
        <v>88</v>
      </c>
      <c r="D52" s="15"/>
      <c r="E52" s="17">
        <f>D52/2*100</f>
        <v>0</v>
      </c>
      <c r="F52" s="17">
        <f>IF(E52&gt;=80,1,0)</f>
        <v>0</v>
      </c>
      <c r="G52" s="17">
        <f>AVERAGE(VALUE(LEFT(C52,FIND("-",C52)-1)),VALUE(RIGHT(C52,LEN(C52)-FIND("-",C52))))</f>
        <v>8</v>
      </c>
      <c r="H52" s="16" t="s">
        <v>168</v>
      </c>
    </row>
    <row r="53" spans="1:8" ht="15" customHeight="1" x14ac:dyDescent="0.35">
      <c r="A53" s="109" t="s">
        <v>32</v>
      </c>
      <c r="B53" s="109" t="s">
        <v>169</v>
      </c>
      <c r="C53" s="14" t="s">
        <v>155</v>
      </c>
      <c r="D53" s="15"/>
      <c r="E53" s="17">
        <f>D53/2*100</f>
        <v>0</v>
      </c>
      <c r="F53" s="17">
        <f>IF(E53&gt;=80,1,0)</f>
        <v>0</v>
      </c>
      <c r="G53" s="17">
        <f>AVERAGE(VALUE(LEFT(C53,FIND("-",C53)-1)),VALUE(RIGHT(C53,LEN(C53)-FIND("-",C53))))</f>
        <v>9</v>
      </c>
      <c r="H53" s="16" t="s">
        <v>170</v>
      </c>
    </row>
    <row r="54" spans="1:8" ht="15" customHeight="1" x14ac:dyDescent="0.35">
      <c r="A54" s="109" t="s">
        <v>32</v>
      </c>
      <c r="B54" s="109" t="s">
        <v>171</v>
      </c>
      <c r="C54" s="14" t="s">
        <v>172</v>
      </c>
      <c r="D54" s="15"/>
      <c r="E54" s="17">
        <f>D54/2*100</f>
        <v>0</v>
      </c>
      <c r="F54" s="17">
        <f>IF(E54&gt;=80,1,0)</f>
        <v>0</v>
      </c>
      <c r="G54" s="17">
        <f>AVERAGE(VALUE(LEFT(C54,FIND("-",C54)-1)),VALUE(RIGHT(C54,LEN(C54)-FIND("-",C54))))</f>
        <v>10.5</v>
      </c>
      <c r="H54" s="16" t="s">
        <v>173</v>
      </c>
    </row>
    <row r="55" spans="1:8" ht="15" customHeight="1" x14ac:dyDescent="0.35">
      <c r="A55" s="190" t="s">
        <v>174</v>
      </c>
      <c r="B55" s="188"/>
      <c r="C55" s="189"/>
      <c r="D55" s="188"/>
      <c r="E55" s="188"/>
      <c r="F55" s="188"/>
      <c r="G55" s="109"/>
    </row>
    <row r="56" spans="1:8" ht="15" customHeight="1" x14ac:dyDescent="0.35">
      <c r="A56" s="109" t="s">
        <v>33</v>
      </c>
      <c r="B56" s="109" t="s">
        <v>175</v>
      </c>
      <c r="C56" s="14" t="s">
        <v>127</v>
      </c>
      <c r="D56" s="15"/>
      <c r="E56" s="17">
        <f t="shared" ref="E56:E61" si="12">D56/2*100</f>
        <v>0</v>
      </c>
      <c r="F56" s="17">
        <f t="shared" ref="F56:F61" si="13">IF(E56&gt;=80,1,0)</f>
        <v>0</v>
      </c>
      <c r="G56" s="17">
        <f t="shared" ref="G56:G61" si="14">AVERAGE(VALUE(LEFT(C56,FIND("-",C56)-1)),VALUE(RIGHT(C56,LEN(C56)-FIND("-",C56))))</f>
        <v>1.5</v>
      </c>
      <c r="H56" s="16" t="s">
        <v>176</v>
      </c>
    </row>
    <row r="57" spans="1:8" ht="15" customHeight="1" x14ac:dyDescent="0.35">
      <c r="A57" s="109" t="s">
        <v>33</v>
      </c>
      <c r="B57" s="109" t="s">
        <v>177</v>
      </c>
      <c r="C57" s="14" t="s">
        <v>69</v>
      </c>
      <c r="D57" s="15"/>
      <c r="E57" s="17">
        <f t="shared" si="12"/>
        <v>0</v>
      </c>
      <c r="F57" s="17">
        <f t="shared" si="13"/>
        <v>0</v>
      </c>
      <c r="G57" s="17">
        <f t="shared" si="14"/>
        <v>2.5</v>
      </c>
      <c r="H57" s="16" t="s">
        <v>178</v>
      </c>
    </row>
    <row r="58" spans="1:8" ht="15" customHeight="1" x14ac:dyDescent="0.35">
      <c r="A58" s="109" t="s">
        <v>33</v>
      </c>
      <c r="B58" s="109" t="s">
        <v>179</v>
      </c>
      <c r="C58" s="14" t="s">
        <v>74</v>
      </c>
      <c r="D58" s="15"/>
      <c r="E58" s="17">
        <f t="shared" si="12"/>
        <v>0</v>
      </c>
      <c r="F58" s="17">
        <f t="shared" si="13"/>
        <v>0</v>
      </c>
      <c r="G58" s="17">
        <f t="shared" si="14"/>
        <v>3.5</v>
      </c>
      <c r="H58" s="16" t="s">
        <v>180</v>
      </c>
    </row>
    <row r="59" spans="1:8" ht="15" customHeight="1" x14ac:dyDescent="0.35">
      <c r="A59" s="109" t="s">
        <v>33</v>
      </c>
      <c r="B59" s="109" t="s">
        <v>181</v>
      </c>
      <c r="C59" s="14" t="s">
        <v>91</v>
      </c>
      <c r="D59" s="15"/>
      <c r="E59" s="17">
        <f t="shared" si="12"/>
        <v>0</v>
      </c>
      <c r="F59" s="17">
        <f t="shared" si="13"/>
        <v>0</v>
      </c>
      <c r="G59" s="17">
        <f t="shared" si="14"/>
        <v>7</v>
      </c>
      <c r="H59" s="16" t="s">
        <v>182</v>
      </c>
    </row>
    <row r="60" spans="1:8" ht="15" customHeight="1" x14ac:dyDescent="0.35">
      <c r="A60" s="109" t="s">
        <v>33</v>
      </c>
      <c r="B60" s="109" t="s">
        <v>183</v>
      </c>
      <c r="C60" s="14" t="s">
        <v>141</v>
      </c>
      <c r="D60" s="15"/>
      <c r="E60" s="17">
        <f t="shared" si="12"/>
        <v>0</v>
      </c>
      <c r="F60" s="17">
        <f t="shared" si="13"/>
        <v>0</v>
      </c>
      <c r="G60" s="17">
        <f t="shared" si="14"/>
        <v>7.5</v>
      </c>
      <c r="H60" s="16" t="s">
        <v>184</v>
      </c>
    </row>
    <row r="61" spans="1:8" ht="15" customHeight="1" x14ac:dyDescent="0.35">
      <c r="A61" s="109" t="s">
        <v>33</v>
      </c>
      <c r="B61" s="109" t="s">
        <v>185</v>
      </c>
      <c r="C61" s="14" t="s">
        <v>186</v>
      </c>
      <c r="D61" s="15"/>
      <c r="E61" s="17">
        <f t="shared" si="12"/>
        <v>0</v>
      </c>
      <c r="F61" s="17">
        <f t="shared" si="13"/>
        <v>0</v>
      </c>
      <c r="G61" s="17">
        <f t="shared" si="14"/>
        <v>10</v>
      </c>
      <c r="H61" s="16" t="s">
        <v>187</v>
      </c>
    </row>
    <row r="62" spans="1:8" ht="15" customHeight="1" x14ac:dyDescent="0.35">
      <c r="A62" s="190" t="s">
        <v>188</v>
      </c>
      <c r="B62" s="188"/>
      <c r="C62" s="189"/>
      <c r="D62" s="188"/>
      <c r="E62" s="188"/>
      <c r="F62" s="188"/>
      <c r="G62" s="109"/>
    </row>
    <row r="63" spans="1:8" ht="15" customHeight="1" x14ac:dyDescent="0.35">
      <c r="A63" s="109" t="s">
        <v>34</v>
      </c>
      <c r="B63" s="109" t="s">
        <v>189</v>
      </c>
      <c r="C63" s="14" t="s">
        <v>127</v>
      </c>
      <c r="D63" s="15"/>
      <c r="E63" s="17">
        <f>D63/2*100</f>
        <v>0</v>
      </c>
      <c r="F63" s="17">
        <f>IF(E63&gt;=80,1,0)</f>
        <v>0</v>
      </c>
      <c r="G63" s="17">
        <f>AVERAGE(VALUE(LEFT(C63,FIND("-",C63)-1)),VALUE(RIGHT(C63,LEN(C63)-FIND("-",C63))))</f>
        <v>1.5</v>
      </c>
      <c r="H63" s="16" t="s">
        <v>190</v>
      </c>
    </row>
    <row r="64" spans="1:8" ht="15" customHeight="1" x14ac:dyDescent="0.35">
      <c r="A64" s="109" t="s">
        <v>34</v>
      </c>
      <c r="B64" s="109" t="s">
        <v>191</v>
      </c>
      <c r="C64" s="14" t="s">
        <v>69</v>
      </c>
      <c r="D64" s="15"/>
      <c r="E64" s="17">
        <f>D64/2*100</f>
        <v>0</v>
      </c>
      <c r="F64" s="17">
        <f>IF(E64&gt;=80,1,0)</f>
        <v>0</v>
      </c>
      <c r="G64" s="17">
        <f>AVERAGE(VALUE(LEFT(C64,FIND("-",C64)-1)),VALUE(RIGHT(C64,LEN(C64)-FIND("-",C64))))</f>
        <v>2.5</v>
      </c>
      <c r="H64" s="16" t="s">
        <v>192</v>
      </c>
    </row>
    <row r="65" spans="1:9" ht="15" customHeight="1" x14ac:dyDescent="0.35">
      <c r="A65" s="109" t="s">
        <v>34</v>
      </c>
      <c r="B65" s="109" t="s">
        <v>193</v>
      </c>
      <c r="C65" s="14" t="s">
        <v>138</v>
      </c>
      <c r="D65" s="15"/>
      <c r="E65" s="17">
        <f>D65/2*100</f>
        <v>0</v>
      </c>
      <c r="F65" s="17">
        <f>IF(E65&gt;=80,1,0)</f>
        <v>0</v>
      </c>
      <c r="G65" s="17">
        <f>AVERAGE(VALUE(LEFT(C65,FIND("-",C65)-1)),VALUE(RIGHT(C65,LEN(C65)-FIND("-",C65))))</f>
        <v>5</v>
      </c>
      <c r="H65" s="16" t="s">
        <v>194</v>
      </c>
    </row>
    <row r="66" spans="1:9" ht="15" customHeight="1" x14ac:dyDescent="0.35">
      <c r="A66" s="109" t="s">
        <v>34</v>
      </c>
      <c r="B66" s="109" t="s">
        <v>195</v>
      </c>
      <c r="C66" s="14" t="s">
        <v>88</v>
      </c>
      <c r="D66" s="15"/>
      <c r="E66" s="17">
        <f>D66/2*100</f>
        <v>0</v>
      </c>
      <c r="F66" s="17">
        <f>IF(E66&gt;=80,1,0)</f>
        <v>0</v>
      </c>
      <c r="G66" s="17">
        <f>AVERAGE(VALUE(LEFT(C66,FIND("-",C66)-1)),VALUE(RIGHT(C66,LEN(C66)-FIND("-",C66))))</f>
        <v>8</v>
      </c>
      <c r="H66" s="16" t="s">
        <v>196</v>
      </c>
    </row>
    <row r="67" spans="1:9" ht="15" customHeight="1" x14ac:dyDescent="0.35">
      <c r="A67" s="109" t="s">
        <v>34</v>
      </c>
      <c r="B67" s="109" t="s">
        <v>197</v>
      </c>
      <c r="C67" s="14" t="s">
        <v>172</v>
      </c>
      <c r="D67" s="15"/>
      <c r="E67" s="17">
        <f>D67/2*100</f>
        <v>0</v>
      </c>
      <c r="F67" s="17">
        <f>IF(E67&gt;=80,1,0)</f>
        <v>0</v>
      </c>
      <c r="G67" s="17">
        <f>AVERAGE(VALUE(LEFT(C67,FIND("-",C67)-1)),VALUE(RIGHT(C67,LEN(C67)-FIND("-",C67))))</f>
        <v>10.5</v>
      </c>
      <c r="H67" s="16" t="s">
        <v>198</v>
      </c>
    </row>
    <row r="68" spans="1:9" ht="15" customHeight="1" x14ac:dyDescent="0.35">
      <c r="A68" s="19"/>
    </row>
    <row r="70" spans="1:9" x14ac:dyDescent="0.35">
      <c r="E70" s="15"/>
      <c r="F70" s="15"/>
      <c r="G70" s="15"/>
      <c r="H70" s="15"/>
      <c r="I70" s="15"/>
    </row>
    <row r="71" spans="1:9" x14ac:dyDescent="0.35">
      <c r="E71" s="15"/>
      <c r="F71" s="15"/>
      <c r="G71" s="15"/>
      <c r="H71" s="15"/>
      <c r="I71" s="15"/>
    </row>
    <row r="72" spans="1:9" x14ac:dyDescent="0.35">
      <c r="E72" s="15"/>
      <c r="F72" s="15"/>
      <c r="G72" s="15"/>
      <c r="H72" s="15"/>
      <c r="I72" s="15"/>
    </row>
    <row r="73" spans="1:9" x14ac:dyDescent="0.35">
      <c r="E73" s="15"/>
      <c r="F73" s="15"/>
      <c r="G73" s="15"/>
      <c r="H73" s="15"/>
      <c r="I73" s="15"/>
    </row>
    <row r="74" spans="1:9" x14ac:dyDescent="0.35">
      <c r="E74" s="15"/>
      <c r="F74" s="15"/>
      <c r="G74" s="15"/>
      <c r="H74" s="15"/>
      <c r="I74" s="15"/>
    </row>
  </sheetData>
  <sheetProtection algorithmName="SHA-512" hashValue="IYZPrvKHrMs2SR5DVmBb5YmGo/x3hAvn3wZS3dEcrySNyteCqSFcMc1FLqnryxWzpCHO/VCFCX59D+lhWg1gDA==" saltValue="fzpK+Emu5If3HL4fLJtRlQ==" spinCount="100000" sheet="1" objects="1" scenarios="1" selectLockedCells="1"/>
  <mergeCells count="14">
    <mergeCell ref="A62:F62"/>
    <mergeCell ref="A3:F3"/>
    <mergeCell ref="A55:F55"/>
    <mergeCell ref="A7:F7"/>
    <mergeCell ref="A2:F2"/>
    <mergeCell ref="A49:F49"/>
    <mergeCell ref="A40:F40"/>
    <mergeCell ref="A1:F1"/>
    <mergeCell ref="A23:F23"/>
    <mergeCell ref="A9:F9"/>
    <mergeCell ref="A32:F32"/>
    <mergeCell ref="A5:F5"/>
    <mergeCell ref="A6:F6"/>
    <mergeCell ref="A4:F4"/>
  </mergeCells>
  <pageMargins left="0.75" right="0.75" top="1" bottom="1" header="0.511811023622047" footer="0.51180555555555596"/>
  <pageSetup paperSize="9" orientation="portrait" horizontalDpi="300" verticalDpi="300" r:id="rId1"/>
  <headerFooter>
    <oddFooter>&amp;C&amp;8 &amp;K888888© 2025 Rabiga Sagyndykova · LOLA System · Resale and redistribution prohibited&amp;R&amp;8 Стр. &amp;P из 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>
    <tabColor rgb="FF00B0F0"/>
  </sheetPr>
  <dimension ref="A1:K47"/>
  <sheetViews>
    <sheetView topLeftCell="A7" zoomScale="81" zoomScaleNormal="81" workbookViewId="0">
      <selection activeCell="P35" sqref="P35"/>
    </sheetView>
  </sheetViews>
  <sheetFormatPr defaultColWidth="8.7265625" defaultRowHeight="14.5" x14ac:dyDescent="0.35"/>
  <cols>
    <col min="1" max="1" width="13.7265625" style="1" customWidth="1"/>
    <col min="2" max="2" width="22" style="1" customWidth="1"/>
    <col min="3" max="3" width="3.26953125" style="1" customWidth="1"/>
    <col min="4" max="4" width="19.26953125" style="1" customWidth="1"/>
    <col min="5" max="5" width="38.453125" style="1" customWidth="1"/>
  </cols>
  <sheetData>
    <row r="1" spans="1:11" ht="15" customHeight="1" x14ac:dyDescent="0.35">
      <c r="A1" s="185" t="s">
        <v>199</v>
      </c>
      <c r="B1" s="169"/>
      <c r="D1" s="21" t="s">
        <v>200</v>
      </c>
      <c r="E1" s="22"/>
      <c r="H1" s="23" t="s">
        <v>201</v>
      </c>
      <c r="I1" s="23"/>
      <c r="J1" s="23"/>
      <c r="K1" s="23"/>
    </row>
    <row r="2" spans="1:11" ht="15" customHeight="1" x14ac:dyDescent="0.35">
      <c r="A2" s="96" t="s">
        <v>202</v>
      </c>
      <c r="B2" s="96" t="s">
        <v>203</v>
      </c>
      <c r="C2" s="98"/>
      <c r="D2" s="97" t="s">
        <v>204</v>
      </c>
      <c r="E2" s="96" t="s">
        <v>205</v>
      </c>
      <c r="F2" s="98"/>
      <c r="G2" s="99" t="s">
        <v>206</v>
      </c>
      <c r="H2" s="99"/>
      <c r="I2" s="99"/>
      <c r="J2" s="99"/>
    </row>
    <row r="3" spans="1:11" ht="21.75" customHeight="1" x14ac:dyDescent="0.35">
      <c r="A3" s="100" t="s">
        <v>207</v>
      </c>
      <c r="B3" s="139">
        <f>PASSPORT!B2</f>
        <v>0</v>
      </c>
      <c r="C3" s="98"/>
      <c r="D3" s="40" t="s">
        <v>208</v>
      </c>
      <c r="E3" s="142" t="str">
        <f>PROFILE!B11</f>
        <v>Gross Motor</v>
      </c>
      <c r="F3" s="98"/>
      <c r="G3" s="101" t="s">
        <v>209</v>
      </c>
      <c r="H3" s="101"/>
      <c r="I3" s="101"/>
      <c r="J3" s="101"/>
    </row>
    <row r="4" spans="1:11" ht="15" customHeight="1" x14ac:dyDescent="0.35">
      <c r="A4" s="100" t="s">
        <v>210</v>
      </c>
      <c r="B4" s="140">
        <f>PASSPORT!B5</f>
        <v>0</v>
      </c>
      <c r="C4" s="98"/>
      <c r="D4" s="40" t="s">
        <v>211</v>
      </c>
      <c r="E4" s="143" t="str">
        <f>PROFILE!B12</f>
        <v>Gross Motor</v>
      </c>
      <c r="F4" s="98"/>
      <c r="G4" s="102" t="s">
        <v>212</v>
      </c>
      <c r="H4" s="102"/>
      <c r="I4" s="102"/>
      <c r="J4" s="102"/>
    </row>
    <row r="5" spans="1:11" ht="50.25" customHeight="1" x14ac:dyDescent="0.35">
      <c r="A5" s="100"/>
      <c r="B5" s="140"/>
      <c r="C5" s="98"/>
      <c r="D5" s="40" t="s">
        <v>213</v>
      </c>
      <c r="E5" s="143" t="str">
        <f>PROFILE!C21</f>
        <v>Zone of Proximal Development: Self-Care. Developing this area can yield the greatest progress in the near future.</v>
      </c>
      <c r="F5" s="98"/>
      <c r="G5" s="103" t="s">
        <v>214</v>
      </c>
      <c r="H5" s="104"/>
      <c r="I5" s="104"/>
      <c r="J5" s="104"/>
    </row>
    <row r="6" spans="1:11" ht="94.5" customHeight="1" x14ac:dyDescent="0.35">
      <c r="A6" s="108" t="s">
        <v>27</v>
      </c>
      <c r="B6" s="141">
        <f>PASSPORT!B4</f>
        <v>0</v>
      </c>
      <c r="C6" s="98"/>
      <c r="D6" s="27" t="s">
        <v>215</v>
      </c>
      <c r="E6" s="144" t="str">
        <f>PROFILE!L9</f>
        <v>The average development level is 0%. Key strength: Gross Motor. Primary area of focus: Gross Motor. Variance between areas: 0%. Risk level: High risk of developmental delay.</v>
      </c>
      <c r="F6" s="98"/>
      <c r="G6" s="192" t="s">
        <v>216</v>
      </c>
      <c r="H6" s="169"/>
      <c r="I6" s="169"/>
      <c r="J6" s="169"/>
    </row>
    <row r="7" spans="1:11" ht="38.25" customHeight="1" x14ac:dyDescent="0.35">
      <c r="A7" s="100" t="s">
        <v>217</v>
      </c>
      <c r="B7" s="105" t="str">
        <f>PASSPORT!B8</f>
        <v>Normative</v>
      </c>
      <c r="C7" s="98"/>
      <c r="D7" s="108" t="s">
        <v>218</v>
      </c>
      <c r="E7" s="143" t="str">
        <f>PROFILE!B24</f>
        <v>Relatively harmonious development</v>
      </c>
      <c r="J7" s="28"/>
    </row>
    <row r="8" spans="1:11" ht="51" customHeight="1" x14ac:dyDescent="0.35">
      <c r="A8" s="29" t="s">
        <v>219</v>
      </c>
      <c r="B8" s="145">
        <f>PROFILE!B10</f>
        <v>0</v>
      </c>
      <c r="C8" s="98"/>
      <c r="D8" s="29" t="s">
        <v>220</v>
      </c>
      <c r="E8" s="144" t="str">
        <f>PROFILE!K9</f>
        <v>The child's functional developmental level corresponds approximately to the range of 0–0 months.</v>
      </c>
    </row>
    <row r="9" spans="1:11" ht="60.75" customHeight="1" x14ac:dyDescent="0.35">
      <c r="A9" s="30" t="s">
        <v>221</v>
      </c>
      <c r="B9" s="146" t="str">
        <f>PROFILE!K10</f>
        <v>The difference between chronological age and the level of development is approximately 0,0 years.</v>
      </c>
      <c r="C9" s="98"/>
      <c r="D9" s="106" t="s">
        <v>222</v>
      </c>
      <c r="E9" s="27" t="str">
        <f>PROFILE!B31</f>
        <v>Comprehensive correctional assistance is recommended</v>
      </c>
    </row>
    <row r="10" spans="1:11" ht="15" customHeight="1" x14ac:dyDescent="0.35">
      <c r="A10" s="31"/>
    </row>
    <row r="18" spans="1:11" ht="15" customHeight="1" x14ac:dyDescent="0.35">
      <c r="K18" s="32"/>
    </row>
    <row r="20" spans="1:11" ht="15" customHeight="1" x14ac:dyDescent="0.35">
      <c r="F20" s="32" t="s">
        <v>223</v>
      </c>
    </row>
    <row r="21" spans="1:11" ht="15" customHeight="1" x14ac:dyDescent="0.35">
      <c r="F21" s="32" t="s">
        <v>224</v>
      </c>
    </row>
    <row r="28" spans="1:11" ht="15" customHeight="1" x14ac:dyDescent="0.35">
      <c r="A28" s="32" t="s">
        <v>225</v>
      </c>
    </row>
    <row r="29" spans="1:11" ht="15" customHeight="1" x14ac:dyDescent="0.35">
      <c r="A29" s="32" t="s">
        <v>226</v>
      </c>
    </row>
    <row r="30" spans="1:11" ht="23.25" customHeight="1" x14ac:dyDescent="0.35">
      <c r="F30" s="32" t="s">
        <v>25</v>
      </c>
    </row>
    <row r="31" spans="1:11" ht="18.75" customHeight="1" x14ac:dyDescent="0.45">
      <c r="B31" s="33" t="s">
        <v>227</v>
      </c>
      <c r="C31" s="34"/>
      <c r="D31" s="34"/>
    </row>
    <row r="33" spans="1:11" ht="15" customHeight="1" x14ac:dyDescent="0.35">
      <c r="A33" s="35" t="s">
        <v>59</v>
      </c>
      <c r="B33" s="35" t="s">
        <v>222</v>
      </c>
    </row>
    <row r="34" spans="1:11" ht="77.25" customHeight="1" x14ac:dyDescent="0.35">
      <c r="A34" s="24" t="str">
        <f>PROFILE!A2</f>
        <v>Gross Motor</v>
      </c>
      <c r="B34" s="147" t="str">
        <f>PROFILE!M2</f>
        <v>The sphere "Gross Motor" requires priority correctional support. Recommended: physiotherapy consultation</v>
      </c>
    </row>
    <row r="35" spans="1:11" ht="77.25" customHeight="1" x14ac:dyDescent="0.35">
      <c r="A35" s="24" t="str">
        <f>PROFILE!A3</f>
        <v>Fine Motor</v>
      </c>
      <c r="B35" s="147" t="str">
        <f>PROFILE!M3</f>
        <v>The sphere "Fine Motor" requires priority correctional support. Recommended: daily exercises</v>
      </c>
    </row>
    <row r="36" spans="1:11" ht="64.5" customHeight="1" x14ac:dyDescent="0.35">
      <c r="A36" s="24" t="str">
        <f>PROFILE!A4</f>
        <v>Speech</v>
      </c>
      <c r="B36" s="147" t="str">
        <f>PROFILE!M4</f>
        <v>The sphere "Speech" requires priority correctional support. Recommended: speech therapy</v>
      </c>
    </row>
    <row r="37" spans="1:11" ht="77.25" customHeight="1" x14ac:dyDescent="0.35">
      <c r="A37" s="24" t="str">
        <f>PROFILE!A5</f>
        <v>Cognitive</v>
      </c>
      <c r="B37" s="147" t="str">
        <f>PROFILE!M5</f>
        <v>The sphere "Cognitive" requires priority correctional support. Recommended: structured sessions</v>
      </c>
    </row>
    <row r="38" spans="1:11" ht="64.5" customHeight="1" x14ac:dyDescent="0.35">
      <c r="A38" s="24" t="str">
        <f>PROFILE!A6</f>
        <v>Emotional</v>
      </c>
      <c r="B38" s="147" t="str">
        <f>PROFILE!M6</f>
        <v>The sphere "Emotional" requires priority correctional support. Recommended: psychologist support</v>
      </c>
    </row>
    <row r="39" spans="1:11" ht="78" customHeight="1" x14ac:dyDescent="0.35">
      <c r="A39" s="24" t="str">
        <f>PROFILE!A7</f>
        <v>Social</v>
      </c>
      <c r="B39" s="147" t="str">
        <f>PROFILE!M7</f>
        <v>The sphere "Social" requires priority correctional support. Recommended: specialist support</v>
      </c>
    </row>
    <row r="40" spans="1:11" ht="91.5" customHeight="1" x14ac:dyDescent="0.35">
      <c r="A40" s="24" t="str">
        <f>PROFILE!A8</f>
        <v>Self-Care</v>
      </c>
      <c r="B40" s="147" t="str">
        <f>PROFILE!M8</f>
        <v>The sphere "Self-Care" requires priority correctional support. Recommended: daily support</v>
      </c>
    </row>
    <row r="41" spans="1:11" x14ac:dyDescent="0.35">
      <c r="B41" s="116"/>
    </row>
    <row r="42" spans="1:11" ht="45" customHeight="1" x14ac:dyDescent="0.35">
      <c r="A42" s="36" t="s">
        <v>228</v>
      </c>
      <c r="B42" s="115" t="str">
        <f>PROFILE!B16</f>
        <v>Motor development profile</v>
      </c>
      <c r="C42" s="25"/>
      <c r="D42" s="25"/>
      <c r="E42" s="25"/>
      <c r="F42" s="25"/>
      <c r="G42" s="25"/>
      <c r="H42" s="25"/>
      <c r="I42" s="25"/>
      <c r="J42" s="25"/>
      <c r="K42" s="25"/>
    </row>
    <row r="43" spans="1:11" ht="15" customHeight="1" x14ac:dyDescent="0.35">
      <c r="A43" s="37" t="s">
        <v>229</v>
      </c>
      <c r="B43" s="148" t="str">
        <f>PROFILE!B17</f>
        <v>The child learns skills better through movement and actions. Use physical activity for teaching.</v>
      </c>
      <c r="C43" s="25"/>
      <c r="D43" s="25"/>
      <c r="E43" s="25"/>
      <c r="F43" s="25"/>
      <c r="G43" s="25"/>
      <c r="H43" s="25"/>
      <c r="I43" s="25"/>
      <c r="J43" s="25"/>
      <c r="K43" s="25"/>
    </row>
    <row r="44" spans="1:11" ht="30" customHeight="1" x14ac:dyDescent="0.35">
      <c r="A44" s="38" t="s">
        <v>230</v>
      </c>
      <c r="B44" s="148" t="str">
        <f>PROFILE!B18</f>
        <v>Learning through movement: object play, exercises, and active tasks.</v>
      </c>
      <c r="C44" s="25"/>
      <c r="D44" s="25"/>
      <c r="E44" s="25"/>
      <c r="F44" s="25"/>
      <c r="G44" s="25"/>
      <c r="H44" s="25"/>
      <c r="I44" s="25"/>
      <c r="J44" s="25"/>
      <c r="K44" s="25"/>
    </row>
    <row r="45" spans="1:11" ht="30" customHeight="1" x14ac:dyDescent="0.35">
      <c r="A45" s="24" t="s">
        <v>231</v>
      </c>
      <c r="B45" s="149" t="str">
        <f>PROFILE!B19</f>
        <v>Developmental pace is severely delayed</v>
      </c>
      <c r="C45" s="25"/>
      <c r="D45" s="25"/>
      <c r="E45" s="25"/>
      <c r="F45" s="25"/>
      <c r="G45" s="25"/>
      <c r="H45" s="25"/>
      <c r="I45" s="25"/>
      <c r="J45" s="25"/>
      <c r="K45" s="25"/>
    </row>
    <row r="46" spans="1:11" ht="30" customHeight="1" x14ac:dyDescent="0.35">
      <c r="A46" s="24" t="s">
        <v>232</v>
      </c>
      <c r="B46" s="116" t="str">
        <f>PROFILE!B20</f>
        <v>Comprehensive correctional support is recommended.</v>
      </c>
    </row>
    <row r="47" spans="1:11" ht="15" customHeight="1" x14ac:dyDescent="0.35">
      <c r="A47" s="26"/>
      <c r="B47" s="25"/>
      <c r="C47" s="25"/>
      <c r="D47" s="25"/>
      <c r="E47" s="25"/>
      <c r="F47" s="25"/>
      <c r="G47" s="25"/>
      <c r="H47" s="25"/>
      <c r="I47" s="25"/>
    </row>
  </sheetData>
  <sheetProtection algorithmName="SHA-512" hashValue="Cokx07Dil0YbQMeuJzpqZA9fIpcRGhnMaNYnt+LD2TkJcG5I5+0TWLMkLy9VCutQfnAIWk45inm895gylKksZQ==" saltValue="z4ngBaJAL9vnG5VH3FVM3A==" spinCount="100000" sheet="1" objects="1" scenarios="1" selectLockedCells="1" selectUnlockedCells="1"/>
  <mergeCells count="2">
    <mergeCell ref="G6:J6"/>
    <mergeCell ref="A1:B1"/>
  </mergeCells>
  <conditionalFormatting sqref="B8">
    <cfRule type="dataBar" priority="2">
      <dataBar>
        <cfvo type="min"/>
        <cfvo type="max"/>
        <color rgb="FF63C384"/>
      </dataBar>
    </cfRule>
    <cfRule type="cellIs" dxfId="12" priority="3" operator="greaterThanOrEqual">
      <formula>90</formula>
    </cfRule>
  </conditionalFormatting>
  <pageMargins left="0.75" right="0.75" top="1" bottom="1" header="0.511811023622047" footer="0.51180555555555596"/>
  <pageSetup paperSize="9" orientation="portrait" horizontalDpi="300" verticalDpi="300"/>
  <headerFooter>
    <oddFooter>&amp;C&amp;8 &amp;K888888© 2025 Rabiga Sagyndykova · LOLA System · Resale and redistribution prohibited&amp;R&amp;8 Стр. &amp;P из &amp;N</oddFooter>
  </headerFooter>
  <drawing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>
    <tabColor theme="3" tint="-0.499984740745262"/>
  </sheetPr>
  <dimension ref="A1:C42"/>
  <sheetViews>
    <sheetView showGridLines="0" zoomScaleNormal="100" workbookViewId="0">
      <selection activeCell="E11" sqref="E11"/>
    </sheetView>
  </sheetViews>
  <sheetFormatPr defaultColWidth="8.7265625" defaultRowHeight="14.5" x14ac:dyDescent="0.35"/>
  <cols>
    <col min="1" max="1" width="32" style="1" customWidth="1"/>
    <col min="2" max="2" width="42" style="1" customWidth="1"/>
    <col min="3" max="3" width="20" style="1" customWidth="1"/>
  </cols>
  <sheetData>
    <row r="1" spans="1:3" ht="30" customHeight="1" x14ac:dyDescent="0.35">
      <c r="A1" s="199" t="s">
        <v>233</v>
      </c>
      <c r="B1" s="169"/>
      <c r="C1" s="169"/>
    </row>
    <row r="2" spans="1:3" ht="19.5" customHeight="1" x14ac:dyDescent="0.35">
      <c r="A2" s="48" t="s">
        <v>234</v>
      </c>
      <c r="B2" s="198"/>
      <c r="C2" s="169"/>
    </row>
    <row r="3" spans="1:3" ht="15" customHeight="1" x14ac:dyDescent="0.35">
      <c r="A3" s="49" t="s">
        <v>235</v>
      </c>
      <c r="B3" s="112">
        <f>PASSPORT!B2</f>
        <v>0</v>
      </c>
      <c r="C3" s="50"/>
    </row>
    <row r="4" spans="1:3" ht="15" customHeight="1" x14ac:dyDescent="0.35">
      <c r="A4" s="49" t="s">
        <v>27</v>
      </c>
      <c r="B4" s="150" t="str">
        <f>TEXT(PASSPORT!B4,"DD.MM.YYYY")</f>
        <v>DD.MM.YYYY</v>
      </c>
      <c r="C4" s="50"/>
    </row>
    <row r="5" spans="1:3" ht="15" customHeight="1" x14ac:dyDescent="0.35">
      <c r="A5" s="49" t="s">
        <v>236</v>
      </c>
      <c r="B5" s="151">
        <f>ROUND(PASSPORT!B5,1)</f>
        <v>0</v>
      </c>
      <c r="C5" s="50"/>
    </row>
    <row r="6" spans="1:3" ht="15" customHeight="1" x14ac:dyDescent="0.35">
      <c r="A6" s="49" t="s">
        <v>237</v>
      </c>
      <c r="B6" s="150" t="str">
        <f>PASSPORT!B8</f>
        <v>Normative</v>
      </c>
      <c r="C6" s="50"/>
    </row>
    <row r="7" spans="1:3" ht="6" customHeight="1" x14ac:dyDescent="0.35">
      <c r="A7" s="51"/>
      <c r="B7" s="51"/>
      <c r="C7" s="51"/>
    </row>
    <row r="8" spans="1:3" ht="19.5" customHeight="1" x14ac:dyDescent="0.35">
      <c r="A8" s="52" t="s">
        <v>238</v>
      </c>
      <c r="B8" s="202"/>
      <c r="C8" s="197"/>
    </row>
    <row r="9" spans="1:3" ht="15" customHeight="1" x14ac:dyDescent="0.35">
      <c r="A9" s="49" t="s">
        <v>239</v>
      </c>
      <c r="B9" s="150" t="str">
        <f>TEXT(PROFILE!B10,"0%")</f>
        <v>0%</v>
      </c>
      <c r="C9" s="50"/>
    </row>
    <row r="10" spans="1:3" ht="38.25" customHeight="1" x14ac:dyDescent="0.35">
      <c r="A10" s="49" t="s">
        <v>240</v>
      </c>
      <c r="B10" s="150" t="str">
        <f>PROFILE!K9</f>
        <v>The child's functional developmental level corresponds approximately to the range of 0–0 months.</v>
      </c>
      <c r="C10" s="50"/>
    </row>
    <row r="11" spans="1:3" ht="15" customHeight="1" x14ac:dyDescent="0.35">
      <c r="A11" s="49" t="s">
        <v>208</v>
      </c>
      <c r="B11" s="150" t="str">
        <f>PROFILE!B11</f>
        <v>Gross Motor</v>
      </c>
      <c r="C11" s="50"/>
    </row>
    <row r="12" spans="1:3" ht="15" customHeight="1" x14ac:dyDescent="0.35">
      <c r="A12" s="49" t="s">
        <v>241</v>
      </c>
      <c r="B12" s="150" t="str">
        <f>PROFILE!B15</f>
        <v>Gross Motor</v>
      </c>
      <c r="C12" s="50"/>
    </row>
    <row r="13" spans="1:3" ht="15" customHeight="1" x14ac:dyDescent="0.35">
      <c r="A13" s="49" t="s">
        <v>213</v>
      </c>
      <c r="B13" s="150" t="str">
        <f>PROFILE!B21</f>
        <v>Self-Care</v>
      </c>
      <c r="C13" s="50"/>
    </row>
    <row r="14" spans="1:3" ht="15" customHeight="1" x14ac:dyDescent="0.35">
      <c r="A14" s="49" t="s">
        <v>242</v>
      </c>
      <c r="B14" s="150" t="str">
        <f>PROFILE!B16</f>
        <v>Motor development profile</v>
      </c>
      <c r="C14" s="50"/>
    </row>
    <row r="15" spans="1:3" ht="15" customHeight="1" x14ac:dyDescent="0.35">
      <c r="A15" s="49" t="s">
        <v>243</v>
      </c>
      <c r="B15" s="150" t="str">
        <f>PROFILE!B24</f>
        <v>Relatively harmonious development</v>
      </c>
      <c r="C15" s="50"/>
    </row>
    <row r="16" spans="1:3" ht="15" customHeight="1" x14ac:dyDescent="0.35">
      <c r="A16" s="49" t="s">
        <v>244</v>
      </c>
      <c r="B16" s="150" t="str">
        <f>PROFILE!B30</f>
        <v>High risk of developmental delay</v>
      </c>
      <c r="C16" s="50"/>
    </row>
    <row r="17" spans="1:3" ht="6" customHeight="1" x14ac:dyDescent="0.35">
      <c r="A17" s="51"/>
      <c r="B17" s="51"/>
      <c r="C17" s="51"/>
    </row>
    <row r="18" spans="1:3" ht="19.5" customHeight="1" x14ac:dyDescent="0.35">
      <c r="A18" s="53" t="s">
        <v>245</v>
      </c>
      <c r="B18" s="53" t="s">
        <v>246</v>
      </c>
      <c r="C18" s="53" t="s">
        <v>247</v>
      </c>
    </row>
    <row r="19" spans="1:3" ht="15" customHeight="1" x14ac:dyDescent="0.35">
      <c r="A19" s="49" t="str">
        <f>PROFILE!A2</f>
        <v>Gross Motor</v>
      </c>
      <c r="B19" s="150" t="str">
        <f>PROFILE!K2</f>
        <v>Significant delay</v>
      </c>
      <c r="C19" s="150" t="str">
        <f>TEXT(PROFILE!F2,"0%")</f>
        <v>0%</v>
      </c>
    </row>
    <row r="20" spans="1:3" ht="15" customHeight="1" x14ac:dyDescent="0.35">
      <c r="A20" s="49" t="str">
        <f>PROFILE!A3</f>
        <v>Fine Motor</v>
      </c>
      <c r="B20" s="150" t="str">
        <f>PROFILE!K3</f>
        <v>Significant delay</v>
      </c>
      <c r="C20" s="150" t="str">
        <f>TEXT(PROFILE!F3,"0%")</f>
        <v>0%</v>
      </c>
    </row>
    <row r="21" spans="1:3" ht="15" customHeight="1" x14ac:dyDescent="0.35">
      <c r="A21" s="49" t="str">
        <f>PROFILE!A4</f>
        <v>Speech</v>
      </c>
      <c r="B21" s="150" t="str">
        <f>PROFILE!K4</f>
        <v>Significant delay</v>
      </c>
      <c r="C21" s="150" t="str">
        <f>TEXT(PROFILE!F4,"0%")</f>
        <v>0%</v>
      </c>
    </row>
    <row r="22" spans="1:3" ht="15" customHeight="1" x14ac:dyDescent="0.35">
      <c r="A22" s="49" t="str">
        <f>PROFILE!A5</f>
        <v>Cognitive</v>
      </c>
      <c r="B22" s="150" t="str">
        <f>PROFILE!K5</f>
        <v>Significant delay</v>
      </c>
      <c r="C22" s="150" t="str">
        <f>TEXT(PROFILE!F5,"0%")</f>
        <v>0%</v>
      </c>
    </row>
    <row r="23" spans="1:3" ht="15" customHeight="1" x14ac:dyDescent="0.35">
      <c r="A23" s="49" t="str">
        <f>PROFILE!A6</f>
        <v>Emotional</v>
      </c>
      <c r="B23" s="150" t="str">
        <f>PROFILE!K6</f>
        <v>Significant delay</v>
      </c>
      <c r="C23" s="150" t="str">
        <f>TEXT(PROFILE!F6,"0%")</f>
        <v>0%</v>
      </c>
    </row>
    <row r="24" spans="1:3" ht="15" customHeight="1" x14ac:dyDescent="0.35">
      <c r="A24" s="49" t="str">
        <f>PROFILE!A7</f>
        <v>Social</v>
      </c>
      <c r="B24" s="150" t="str">
        <f>PROFILE!K7</f>
        <v>Significant delay</v>
      </c>
      <c r="C24" s="150" t="str">
        <f>TEXT(PROFILE!F7,"0%")</f>
        <v>0%</v>
      </c>
    </row>
    <row r="25" spans="1:3" ht="15" customHeight="1" x14ac:dyDescent="0.35">
      <c r="A25" s="49" t="str">
        <f>PROFILE!A8</f>
        <v>Self-Care</v>
      </c>
      <c r="B25" s="150" t="str">
        <f>PROFILE!K8</f>
        <v>Significant delay</v>
      </c>
      <c r="C25" s="150" t="str">
        <f>TEXT(PROFILE!F8,"0%")</f>
        <v>0%</v>
      </c>
    </row>
    <row r="26" spans="1:3" ht="6" customHeight="1" x14ac:dyDescent="0.35">
      <c r="A26" s="51"/>
      <c r="B26" s="51"/>
      <c r="C26" s="51"/>
    </row>
    <row r="27" spans="1:3" ht="19.5" customHeight="1" x14ac:dyDescent="0.35">
      <c r="A27" s="52" t="s">
        <v>248</v>
      </c>
      <c r="B27" s="202"/>
      <c r="C27" s="197"/>
    </row>
    <row r="28" spans="1:3" ht="15" customHeight="1" x14ac:dyDescent="0.35">
      <c r="A28" s="49" t="s">
        <v>249</v>
      </c>
      <c r="B28" s="194" t="str">
        <f>PROFILE!B32</f>
        <v>Physiotherapist / PT</v>
      </c>
      <c r="C28" s="195"/>
    </row>
    <row r="29" spans="1:3" ht="15" customHeight="1" x14ac:dyDescent="0.35">
      <c r="A29" s="49" t="s">
        <v>250</v>
      </c>
      <c r="B29" s="194" t="str">
        <f>PROFILE!B33</f>
        <v>Therapeutic exercise, physiotherapy</v>
      </c>
      <c r="C29" s="195"/>
    </row>
    <row r="30" spans="1:3" ht="15" customHeight="1" x14ac:dyDescent="0.35">
      <c r="A30" s="49" t="s">
        <v>251</v>
      </c>
      <c r="B30" s="194" t="str">
        <f>PROFILE!B29</f>
        <v>Recommended workload: 60–90 minutes of sessions per day</v>
      </c>
      <c r="C30" s="195"/>
    </row>
    <row r="31" spans="1:3" ht="39.75" customHeight="1" x14ac:dyDescent="0.35">
      <c r="A31" s="49" t="s">
        <v>230</v>
      </c>
      <c r="B31" s="200" t="str">
        <f>PROFILE!B18</f>
        <v>Learning through movement: object play, exercises, and active tasks.</v>
      </c>
      <c r="C31" s="195"/>
    </row>
    <row r="32" spans="1:3" ht="6" customHeight="1" x14ac:dyDescent="0.35">
      <c r="A32" s="51"/>
      <c r="B32" s="51"/>
      <c r="C32" s="51"/>
    </row>
    <row r="33" spans="1:3" ht="19.5" customHeight="1" x14ac:dyDescent="0.35">
      <c r="A33" s="52" t="s">
        <v>252</v>
      </c>
      <c r="B33" s="52" t="s">
        <v>253</v>
      </c>
      <c r="C33" s="52" t="s">
        <v>254</v>
      </c>
    </row>
    <row r="34" spans="1:3" ht="27.75" customHeight="1" x14ac:dyDescent="0.35">
      <c r="A34" s="49" t="s">
        <v>255</v>
      </c>
      <c r="B34" s="152" t="str">
        <f>'DEV PLAN'!B12</f>
        <v>Exercise</v>
      </c>
      <c r="C34" s="152" t="str">
        <f>'DEV PLAN'!C12</f>
        <v>Description</v>
      </c>
    </row>
    <row r="35" spans="1:3" ht="27.75" customHeight="1" x14ac:dyDescent="0.35">
      <c r="A35" s="49" t="s">
        <v>256</v>
      </c>
      <c r="B35" s="152" t="str">
        <f ca="1">'DEV PLAN'!B13</f>
        <v>Rocking on all fours</v>
      </c>
      <c r="C35" s="152" t="str">
        <f ca="1">'DEV PLAN'!C13</f>
        <v>with assistance</v>
      </c>
    </row>
    <row r="36" spans="1:3" ht="27.75" customHeight="1" x14ac:dyDescent="0.35">
      <c r="A36" s="49" t="s">
        <v>257</v>
      </c>
      <c r="B36" s="152" t="str">
        <f ca="1">'DEV PLAN'!B14</f>
        <v>Leg lifts lying</v>
      </c>
      <c r="C36" s="152" t="str">
        <f ca="1">'DEV PLAN'!C14</f>
        <v>arm support</v>
      </c>
    </row>
    <row r="37" spans="1:3" ht="27.75" customHeight="1" x14ac:dyDescent="0.35">
      <c r="A37" s="49" t="s">
        <v>258</v>
      </c>
      <c r="B37" s="152" t="str">
        <f ca="1">'DEV PLAN'!B15</f>
        <v>Prop on elbows</v>
      </c>
      <c r="C37" s="152" t="str">
        <f ca="1">'DEV PLAN'!C15</f>
        <v>holding</v>
      </c>
    </row>
    <row r="38" spans="1:3" ht="27.75" customHeight="1" x14ac:dyDescent="0.35">
      <c r="A38" s="49" t="s">
        <v>259</v>
      </c>
      <c r="B38" s="152" t="str">
        <f ca="1">'DEV PLAN'!B16</f>
        <v>Head lifting</v>
      </c>
      <c r="C38" s="152" t="str">
        <f ca="1">'DEV PLAN'!C16</f>
        <v>over shoulder</v>
      </c>
    </row>
    <row r="39" spans="1:3" ht="6" customHeight="1" x14ac:dyDescent="0.35">
      <c r="A39" s="51"/>
      <c r="B39" s="51"/>
      <c r="C39" s="51"/>
    </row>
    <row r="40" spans="1:3" ht="19.5" customHeight="1" x14ac:dyDescent="0.35">
      <c r="A40" s="54" t="s">
        <v>260</v>
      </c>
      <c r="B40" s="201"/>
      <c r="C40" s="197"/>
    </row>
    <row r="41" spans="1:3" ht="60" customHeight="1" x14ac:dyDescent="0.35">
      <c r="A41" s="196" t="str">
        <f>PROFILE!L9</f>
        <v>The average development level is 0%. Key strength: Gross Motor. Primary area of focus: Gross Motor. Variance between areas: 0%. Risk level: High risk of developmental delay.</v>
      </c>
      <c r="B41" s="197"/>
      <c r="C41" s="197"/>
    </row>
    <row r="42" spans="1:3" ht="19.5" customHeight="1" x14ac:dyDescent="0.35">
      <c r="A42" s="193" t="s">
        <v>261</v>
      </c>
      <c r="B42" s="169"/>
      <c r="C42" s="169"/>
    </row>
  </sheetData>
  <sheetProtection algorithmName="SHA-512" hashValue="EMIAoyoDr2lSc0B6d4wprH02SGUvn7zs5bypuIbpAzAREsUUkD6mTY6oMI3NxGFYOtbj8gjgs51xDgfu6Ea3rQ==" saltValue="3TY1jCNmo1YrJnZyzAptfw==" spinCount="100000" sheet="1" objects="1" scenarios="1" selectLockedCells="1" selectUnlockedCells="1"/>
  <mergeCells count="11">
    <mergeCell ref="A1:C1"/>
    <mergeCell ref="B28:C28"/>
    <mergeCell ref="B31:C31"/>
    <mergeCell ref="B40:C40"/>
    <mergeCell ref="B27:C27"/>
    <mergeCell ref="B8:C8"/>
    <mergeCell ref="A42:C42"/>
    <mergeCell ref="B30:C30"/>
    <mergeCell ref="A41:C41"/>
    <mergeCell ref="B2:C2"/>
    <mergeCell ref="B29:C29"/>
  </mergeCells>
  <pageMargins left="0.75" right="0.75" top="1" bottom="1" header="0.511811023622047" footer="0.51180555555555596"/>
  <pageSetup paperSize="9" orientation="portrait" horizontalDpi="300" verticalDpi="300"/>
  <headerFooter>
    <oddFooter>&amp;C&amp;8 &amp;K888888© 2025 Rabiga Sagyndykova · LOLA System · Resale and redistribution prohibited&amp;R&amp;8 Стр. &amp;P из 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E46C0A"/>
  </sheetPr>
  <dimension ref="A1:L34"/>
  <sheetViews>
    <sheetView topLeftCell="A22" zoomScaleNormal="100" workbookViewId="0">
      <selection activeCell="L4" sqref="L4"/>
    </sheetView>
  </sheetViews>
  <sheetFormatPr defaultColWidth="8.7265625" defaultRowHeight="14.5" x14ac:dyDescent="0.35"/>
  <cols>
    <col min="1" max="1" width="13.453125" style="1" customWidth="1"/>
    <col min="2" max="2" width="18" style="1" customWidth="1"/>
    <col min="3" max="3" width="24.26953125" style="1" customWidth="1"/>
    <col min="4" max="4" width="13" style="1" customWidth="1"/>
    <col min="6" max="6" width="13.54296875" style="1" customWidth="1"/>
    <col min="7" max="7" width="11.7265625" style="1" customWidth="1"/>
  </cols>
  <sheetData>
    <row r="1" spans="1:12" ht="15" customHeight="1" x14ac:dyDescent="0.35">
      <c r="A1" s="153" t="s">
        <v>262</v>
      </c>
      <c r="B1" s="153"/>
      <c r="C1" s="153"/>
      <c r="D1" s="153"/>
      <c r="E1" s="116"/>
      <c r="F1" s="116"/>
      <c r="G1" s="116"/>
    </row>
    <row r="2" spans="1:12" ht="37.5" customHeight="1" x14ac:dyDescent="0.35">
      <c r="A2" s="143" t="s">
        <v>263</v>
      </c>
      <c r="B2" s="143" t="s">
        <v>264</v>
      </c>
      <c r="C2" s="143" t="s">
        <v>265</v>
      </c>
      <c r="D2" s="143" t="s">
        <v>266</v>
      </c>
      <c r="E2" s="143" t="s">
        <v>246</v>
      </c>
      <c r="F2" s="143" t="s">
        <v>267</v>
      </c>
      <c r="G2" s="143" t="s">
        <v>254</v>
      </c>
      <c r="H2" s="24"/>
      <c r="I2" s="24"/>
      <c r="J2" s="24"/>
      <c r="K2" s="24"/>
      <c r="L2" s="24"/>
    </row>
    <row r="3" spans="1:12" ht="25.5" customHeight="1" x14ac:dyDescent="0.35">
      <c r="A3" s="143" t="s">
        <v>268</v>
      </c>
      <c r="B3" s="143" t="str">
        <f>PROFILE!B15</f>
        <v>Gross Motor</v>
      </c>
      <c r="C3" s="143" t="str">
        <f>VLOOKUP(B3,RECOMMENDATIONS!A:D,4,FALSE())</f>
        <v>Recommended: physiotherapy consultation</v>
      </c>
      <c r="D3" s="143" t="str">
        <f>"10–15 minutes daily"</f>
        <v>10–15 minutes daily</v>
      </c>
      <c r="E3" s="143" t="str">
        <f>PROFILE!$B$22</f>
        <v>basic</v>
      </c>
      <c r="F3" s="143" t="str">
        <f t="array" aca="1" ref="F3" ca="1">IFERROR(INDEX(EXERCISES!C$2:C$166,SMALL(IF((EXERCISES!A$2:A$166=B3)*(EXERCISES!B$2:B$166=PROFILE!$B$22),ROW(EXERCISES!A$2:A$166)-ROW(EXERCISES!A$2)+1),RANDBETWEEN(1,MAX(1,COUNTIFS(EXERCISES!A$2:A$166,B3,EXERCISES!B$2:B$166,PROFILE!$B$22))))),"Нет упражнения")</f>
        <v>Crawling to toy</v>
      </c>
      <c r="G3" s="143" t="str">
        <f t="array" aca="1" ref="G3" ca="1">IFERROR(INDEX(EXERCISES!D$2:D$166,SMALL(IF((EXERCISES!A$2:A$166=B3)*(EXERCISES!B$2:B$166=PROFILE!$B$22),ROW(EXERCISES!A$2:A$166)-ROW(EXERCISES!A$2)+1),RANDBETWEEN(1,MAX(1,COUNTIFS(EXERCISES!A$2:A$166,B3,EXERCISES!B$2:B$166,PROFILE!$B$22))))),"—")</f>
        <v>hip support</v>
      </c>
      <c r="H3" s="24"/>
      <c r="I3" s="24"/>
      <c r="J3" s="24"/>
      <c r="K3" s="24"/>
      <c r="L3" s="24"/>
    </row>
    <row r="4" spans="1:12" ht="38.25" customHeight="1" x14ac:dyDescent="0.35">
      <c r="A4" s="143" t="s">
        <v>213</v>
      </c>
      <c r="B4" s="143" t="str">
        <f>PROFILE!B21</f>
        <v>Self-Care</v>
      </c>
      <c r="C4" s="143" t="str">
        <f>VLOOKUP(B4,RECOMMENDATIONS!A:D,3,FALSE())</f>
        <v>Recommended: skill training</v>
      </c>
      <c r="D4" s="143" t="str">
        <f>"3–4 times a week"</f>
        <v>3–4 times a week</v>
      </c>
      <c r="E4" s="143" t="str">
        <f>PROFILE!$B$22</f>
        <v>basic</v>
      </c>
      <c r="F4" s="143" t="str">
        <f t="array" aca="1" ref="F4" ca="1">IFERROR(INDEX(EXERCISES!C$2:C$166,SMALL(IF((EXERCISES!A$2:A$166=B4)*(EXERCISES!B$2:B$166=PROFILE!$B$22),ROW(EXERCISES!A$2:A$166)-ROW(EXERCISES!A$2)+1),RANDBETWEEN(1,MAX(1,COUNTIFS(EXERCISES!A$2:A$166,B4,EXERCISES!B$2:B$166,PROFILE!$B$22))))),"Нет упражнения")</f>
        <v>Removing socks</v>
      </c>
      <c r="G4" s="143" t="str">
        <f t="array" aca="1" ref="G4" ca="1">IFERROR(INDEX(EXERCISES!D$2:D$166,SMALL(IF((EXERCISES!A$2:A$166=B4)*(EXERCISES!B$2:B$166=PROFILE!$B$22),ROW(EXERCISES!A$2:A$166)-ROW(EXERCISES!A$2)+1),RANDBETWEEN(1,MAX(1,COUNTIFS(EXERCISES!A$2:A$166,B4,EXERCISES!B$2:B$166,PROFILE!$B$22))))),"—")</f>
        <v>briefly</v>
      </c>
      <c r="H4" s="24"/>
      <c r="I4" s="24"/>
      <c r="J4" s="24"/>
      <c r="K4" s="24"/>
      <c r="L4" s="24"/>
    </row>
    <row r="5" spans="1:12" ht="39" customHeight="1" x14ac:dyDescent="0.35">
      <c r="A5" s="143" t="s">
        <v>269</v>
      </c>
      <c r="B5" s="143" t="str">
        <f>PROFILE!B11</f>
        <v>Gross Motor</v>
      </c>
      <c r="C5" s="143" t="str">
        <f>VLOOKUP(B5,RECOMMENDATIONS!A:D,2,FALSE())</f>
        <v>Recommended: more active play</v>
      </c>
      <c r="D5" s="143" t="str">
        <f>"support through games"</f>
        <v>support through games</v>
      </c>
      <c r="E5" s="143" t="str">
        <f>PROFILE!$B$22</f>
        <v>basic</v>
      </c>
      <c r="F5" s="143" t="str">
        <f t="array" aca="1" ref="F5" ca="1">IFERROR(INDEX(EXERCISES!C$2:C$166,SMALL(IF((EXERCISES!A$2:A$166=B5)*(EXERCISES!B$2:B$166=PROFILE!$B$22),ROW(EXERCISES!A$2:A$166)-ROW(EXERCISES!A$2)+1),RANDBETWEEN(1,MAX(1,COUNTIFS(EXERCISES!A$2:A$166,B5,EXERCISES!B$2:B$166,PROFILE!$B$22))))),"Нет упражнения")</f>
        <v>Crawling to toy</v>
      </c>
      <c r="G5" s="143" t="str">
        <f t="array" aca="1" ref="G5" ca="1">IFERROR(INDEX(EXERCISES!D$2:D$166,SMALL(IF((EXERCISES!A$2:A$166=B5)*(EXERCISES!B$2:B$166=PROFILE!$B$22),ROW(EXERCISES!A$2:A$166)-ROW(EXERCISES!A$2)+1),RANDBETWEEN(1,MAX(1,COUNTIFS(EXERCISES!A$2:A$166,B5,EXERCISES!B$2:B$166,PROFILE!$B$22))))),"—")</f>
        <v>arm support</v>
      </c>
      <c r="H5" s="24"/>
      <c r="I5" s="24"/>
      <c r="J5" s="24"/>
      <c r="K5" s="24"/>
      <c r="L5" s="24"/>
    </row>
    <row r="6" spans="1:12" ht="15" customHeight="1" x14ac:dyDescent="0.35">
      <c r="A6" s="143"/>
      <c r="B6" s="143"/>
      <c r="C6" s="143"/>
      <c r="D6" s="143"/>
      <c r="E6" s="115"/>
      <c r="F6" s="115"/>
      <c r="G6" s="115"/>
      <c r="H6" s="24"/>
      <c r="I6" s="24"/>
      <c r="J6" s="24"/>
      <c r="K6" s="24"/>
      <c r="L6" s="24"/>
    </row>
    <row r="7" spans="1:12" s="39" customFormat="1" ht="15" customHeight="1" x14ac:dyDescent="0.35">
      <c r="A7" s="154" t="s">
        <v>270</v>
      </c>
      <c r="B7" s="155"/>
      <c r="C7" s="155"/>
      <c r="D7" s="155"/>
      <c r="E7" s="156"/>
      <c r="F7" s="156"/>
      <c r="G7" s="157"/>
      <c r="H7" s="41"/>
      <c r="I7" s="41"/>
      <c r="J7" s="41"/>
      <c r="K7" s="41"/>
      <c r="L7" s="41"/>
    </row>
    <row r="8" spans="1:12" ht="15" customHeight="1" x14ac:dyDescent="0.35">
      <c r="A8" s="143"/>
      <c r="B8" s="143"/>
      <c r="C8" s="143"/>
      <c r="D8" s="143"/>
      <c r="E8" s="115"/>
      <c r="F8" s="115"/>
      <c r="G8" s="115"/>
      <c r="H8" s="24"/>
      <c r="I8" s="24"/>
      <c r="J8" s="24"/>
      <c r="K8" s="24"/>
      <c r="L8" s="24"/>
    </row>
    <row r="9" spans="1:12" ht="25.5" customHeight="1" x14ac:dyDescent="0.35">
      <c r="A9" s="143"/>
      <c r="B9" s="143"/>
      <c r="C9" s="143"/>
      <c r="D9" s="143"/>
      <c r="E9" s="115"/>
      <c r="F9" s="115"/>
      <c r="G9" s="115"/>
      <c r="H9" s="24"/>
      <c r="I9" s="24"/>
      <c r="J9" s="24"/>
      <c r="K9" s="24"/>
      <c r="L9" s="24"/>
    </row>
    <row r="10" spans="1:12" ht="15" customHeight="1" x14ac:dyDescent="0.35">
      <c r="A10" s="143"/>
      <c r="B10" s="143"/>
      <c r="C10" s="143"/>
      <c r="D10" s="143"/>
      <c r="E10" s="115"/>
      <c r="F10" s="115"/>
      <c r="G10" s="115"/>
      <c r="H10" s="24"/>
      <c r="I10" s="24"/>
      <c r="J10" s="24"/>
      <c r="K10" s="24"/>
      <c r="L10" s="24"/>
    </row>
    <row r="11" spans="1:12" ht="27.75" customHeight="1" x14ac:dyDescent="0.35">
      <c r="A11" s="158" t="s">
        <v>271</v>
      </c>
      <c r="B11" s="143"/>
      <c r="C11" s="143"/>
      <c r="D11" s="143"/>
      <c r="E11" s="115"/>
      <c r="F11" s="115"/>
      <c r="G11" s="115"/>
      <c r="H11" s="24"/>
      <c r="I11" s="24"/>
      <c r="J11" s="24"/>
      <c r="K11" s="24"/>
      <c r="L11" s="24"/>
    </row>
    <row r="12" spans="1:12" ht="27.75" customHeight="1" x14ac:dyDescent="0.35">
      <c r="A12" s="159" t="s">
        <v>272</v>
      </c>
      <c r="B12" s="159" t="s">
        <v>253</v>
      </c>
      <c r="C12" s="159" t="s">
        <v>254</v>
      </c>
      <c r="D12" s="143"/>
      <c r="E12" s="115"/>
      <c r="F12" s="115"/>
      <c r="G12" s="115"/>
      <c r="H12" s="24"/>
      <c r="I12" s="24"/>
      <c r="J12" s="24"/>
      <c r="K12" s="24"/>
      <c r="L12" s="24"/>
    </row>
    <row r="13" spans="1:12" ht="15" customHeight="1" x14ac:dyDescent="0.35">
      <c r="A13" s="143" t="s">
        <v>255</v>
      </c>
      <c r="B13" s="143" t="str">
        <f t="array" aca="1" ref="B13" ca="1">IFERROR(INDEX(EXERCISES!C$2:C$166,SMALL(IF((EXERCISES!A$2:A$166=PROFILE!$B$15)*(EXERCISES!B$2:B$166=PROFILE!$B$22),ROW(EXERCISES!A$2:A$166)-ROW(EXERCISES!A$2)+1),RANDBETWEEN(1,MAX(1,COUNTIFS(EXERCISES!A$2:A$166,PROFILE!$B$15,EXERCISES!B$2:B$166,PROFILE!$B$22))))),"Нет упражнения")</f>
        <v>Rocking on all fours</v>
      </c>
      <c r="C13" s="143" t="str">
        <f t="array" aca="1" ref="C13" ca="1">IFERROR(INDEX(EXERCISES!D$2:D$166,SMALL(IF((EXERCISES!A$2:A$166=PROFILE!$B$15)*(EXERCISES!B$2:B$166=PROFILE!$B$22),ROW(EXERCISES!A$2:A$166)-ROW(EXERCISES!A$2)+1),RANDBETWEEN(1,MAX(1,COUNTIFS(EXERCISES!A$2:A$166,PROFILE!$B$15,EXERCISES!B$2:B$166,PROFILE!$B$22))))),"—")</f>
        <v>with assistance</v>
      </c>
      <c r="D13" s="143"/>
      <c r="E13" s="115"/>
      <c r="F13" s="115"/>
      <c r="G13" s="115"/>
      <c r="H13" s="24"/>
      <c r="I13" s="24"/>
      <c r="J13" s="24"/>
      <c r="K13" s="24"/>
      <c r="L13" s="24"/>
    </row>
    <row r="14" spans="1:12" ht="15" customHeight="1" x14ac:dyDescent="0.35">
      <c r="A14" s="143" t="s">
        <v>256</v>
      </c>
      <c r="B14" s="143" t="str">
        <f t="array" aca="1" ref="B14" ca="1">IFERROR(INDEX(EXERCISES!C$2:C$166,SMALL(IF((EXERCISES!A$2:A$166=PROFILE!$B$15)*(EXERCISES!B$2:B$166=PROFILE!$B$22),ROW(EXERCISES!A$2:A$166)-ROW(EXERCISES!A$2)+1),RANDBETWEEN(1,MAX(1,COUNTIFS(EXERCISES!A$2:A$166,PROFILE!$B$15,EXERCISES!B$2:B$166,PROFILE!$B$22))))),"Нет упражнения")</f>
        <v>Leg lifts lying</v>
      </c>
      <c r="C14" s="143" t="str">
        <f t="array" aca="1" ref="C14" ca="1">IFERROR(INDEX(EXERCISES!D$2:D$166,SMALL(IF((EXERCISES!A$2:A$166=PROFILE!$B$15)*(EXERCISES!B$2:B$166=PROFILE!$B$22),ROW(EXERCISES!A$2:A$166)-ROW(EXERCISES!A$2)+1),RANDBETWEEN(1,MAX(1,COUNTIFS(EXERCISES!A$2:A$166,PROFILE!$B$15,EXERCISES!B$2:B$166,PROFILE!$B$22))))),"—")</f>
        <v>arm support</v>
      </c>
      <c r="D14" s="115"/>
      <c r="E14" s="115"/>
      <c r="F14" s="115"/>
      <c r="G14" s="115"/>
      <c r="H14" s="24"/>
      <c r="I14" s="24"/>
      <c r="J14" s="24"/>
      <c r="K14" s="24"/>
      <c r="L14" s="24"/>
    </row>
    <row r="15" spans="1:12" ht="27.75" customHeight="1" x14ac:dyDescent="0.35">
      <c r="A15" s="143" t="s">
        <v>257</v>
      </c>
      <c r="B15" s="143" t="str">
        <f t="array" aca="1" ref="B15" ca="1">IFERROR(INDEX(EXERCISES!C$2:C$166,SMALL(IF((EXERCISES!A$2:A$166=PROFILE!$B$15)*(EXERCISES!B$2:B$166=PROFILE!$B$22),ROW(EXERCISES!A$2:A$166)-ROW(EXERCISES!A$2)+1),RANDBETWEEN(1,MAX(1,COUNTIFS(EXERCISES!A$2:A$166,PROFILE!$B$15,EXERCISES!B$2:B$166,PROFILE!$B$22))))),"Нет упражнения")</f>
        <v>Prop on elbows</v>
      </c>
      <c r="C15" s="143" t="str">
        <f t="array" aca="1" ref="C15" ca="1">IFERROR(INDEX(EXERCISES!D$2:D$166,SMALL(IF((EXERCISES!A$2:A$166=PROFILE!$B$15)*(EXERCISES!B$2:B$166=PROFILE!$B$22),ROW(EXERCISES!A$2:A$166)-ROW(EXERCISES!A$2)+1),RANDBETWEEN(1,MAX(1,COUNTIFS(EXERCISES!A$2:A$166,PROFILE!$B$15,EXERCISES!B$2:B$166,PROFILE!$B$22))))),"—")</f>
        <v>holding</v>
      </c>
      <c r="D15" s="115"/>
      <c r="E15" s="115"/>
      <c r="F15" s="115"/>
      <c r="G15" s="115"/>
      <c r="H15" s="24"/>
      <c r="I15" s="24"/>
      <c r="J15" s="24"/>
      <c r="K15" s="24"/>
      <c r="L15" s="24"/>
    </row>
    <row r="16" spans="1:12" ht="27.75" customHeight="1" x14ac:dyDescent="0.35">
      <c r="A16" s="143" t="s">
        <v>258</v>
      </c>
      <c r="B16" s="143" t="str">
        <f t="array" aca="1" ref="B16" ca="1">IFERROR(INDEX(EXERCISES!C$2:C$166,SMALL(IF((EXERCISES!A$2:A$166=PROFILE!$B$15)*(EXERCISES!B$2:B$166=PROFILE!$B$22),ROW(EXERCISES!A$2:A$166)-ROW(EXERCISES!A$2)+1),RANDBETWEEN(1,MAX(1,COUNTIFS(EXERCISES!A$2:A$166,PROFILE!$B$15,EXERCISES!B$2:B$166,PROFILE!$B$22))))),"Нет упражнения")</f>
        <v>Head lifting</v>
      </c>
      <c r="C16" s="143" t="str">
        <f t="array" aca="1" ref="C16" ca="1">IFERROR(INDEX(EXERCISES!D$2:D$166,SMALL(IF((EXERCISES!A$2:A$166=PROFILE!$B$15)*(EXERCISES!B$2:B$166=PROFILE!$B$22),ROW(EXERCISES!A$2:A$166)-ROW(EXERCISES!A$2)+1),RANDBETWEEN(1,MAX(1,COUNTIFS(EXERCISES!A$2:A$166,PROFILE!$B$15,EXERCISES!B$2:B$166,PROFILE!$B$22))))),"—")</f>
        <v>over shoulder</v>
      </c>
      <c r="D16" s="115"/>
      <c r="E16" s="115"/>
      <c r="F16" s="115"/>
      <c r="G16" s="115"/>
      <c r="H16" s="24"/>
      <c r="I16" s="24"/>
      <c r="J16" s="24"/>
      <c r="K16" s="24"/>
      <c r="L16" s="24"/>
    </row>
    <row r="17" spans="1:12" ht="15" customHeight="1" x14ac:dyDescent="0.35">
      <c r="A17" s="143" t="s">
        <v>259</v>
      </c>
      <c r="B17" s="143" t="str">
        <f t="array" aca="1" ref="B17" ca="1">IFERROR(INDEX(EXERCISES!C$2:C$166,SMALL(IF((EXERCISES!A$2:A$166=PROFILE!$B$15)*(EXERCISES!B$2:B$166=PROFILE!$B$22),ROW(EXERCISES!A$2:A$166)-ROW(EXERCISES!A$2)+1),RANDBETWEEN(1,MAX(1,COUNTIFS(EXERCISES!A$2:A$166,PROFILE!$B$15,EXERCISES!B$2:B$166,PROFILE!$B$22))))),"Нет упражнения")</f>
        <v>All-fours position</v>
      </c>
      <c r="C17" s="143" t="str">
        <f t="array" aca="1" ref="C17" ca="1">IFERROR(INDEX(EXERCISES!D$2:D$166,SMALL(IF((EXERCISES!A$2:A$166=PROFILE!$B$15)*(EXERCISES!B$2:B$166=PROFILE!$B$22),ROW(EXERCISES!A$2:A$166)-ROW(EXERCISES!A$2)+1),RANDBETWEEN(1,MAX(1,COUNTIFS(EXERCISES!A$2:A$166,PROFILE!$B$15,EXERCISES!B$2:B$166,PROFILE!$B$22))))),"—")</f>
        <v>back and forth</v>
      </c>
      <c r="D17" s="115"/>
      <c r="E17" s="115"/>
      <c r="F17" s="115"/>
      <c r="G17" s="115"/>
      <c r="H17" s="24"/>
      <c r="I17" s="24"/>
      <c r="J17" s="24"/>
      <c r="K17" s="24"/>
      <c r="L17" s="24"/>
    </row>
    <row r="18" spans="1:12" ht="15" customHeight="1" x14ac:dyDescent="0.35">
      <c r="A18" s="115"/>
      <c r="B18" s="115"/>
      <c r="C18" s="115"/>
      <c r="D18" s="115"/>
      <c r="E18" s="115"/>
      <c r="F18" s="115"/>
      <c r="G18" s="115"/>
      <c r="H18" s="24"/>
      <c r="I18" s="24"/>
      <c r="J18" s="24"/>
      <c r="K18" s="24"/>
      <c r="L18" s="24"/>
    </row>
    <row r="19" spans="1:12" ht="15" customHeight="1" x14ac:dyDescent="0.35">
      <c r="A19" s="115"/>
      <c r="B19" s="115"/>
      <c r="C19" s="115"/>
      <c r="D19" s="115"/>
      <c r="E19" s="115"/>
      <c r="F19" s="115"/>
      <c r="G19" s="115"/>
      <c r="H19" s="24"/>
      <c r="I19" s="24"/>
      <c r="J19" s="24"/>
      <c r="K19" s="24"/>
      <c r="L19" s="24"/>
    </row>
    <row r="20" spans="1:12" ht="27.75" customHeight="1" x14ac:dyDescent="0.35">
      <c r="A20" s="158" t="s">
        <v>273</v>
      </c>
      <c r="B20" s="115"/>
      <c r="C20" s="115"/>
      <c r="D20" s="115"/>
      <c r="E20" s="115"/>
      <c r="F20" s="115"/>
      <c r="G20" s="115"/>
      <c r="H20" s="24"/>
      <c r="I20" s="24"/>
      <c r="J20" s="24"/>
      <c r="K20" s="24"/>
      <c r="L20" s="24"/>
    </row>
    <row r="21" spans="1:12" ht="27.75" customHeight="1" x14ac:dyDescent="0.35">
      <c r="A21" s="159" t="s">
        <v>274</v>
      </c>
      <c r="B21" s="159" t="s">
        <v>253</v>
      </c>
      <c r="C21" s="159" t="s">
        <v>254</v>
      </c>
      <c r="D21" s="115"/>
      <c r="E21" s="115"/>
      <c r="F21" s="115"/>
      <c r="G21" s="115"/>
      <c r="H21" s="24"/>
      <c r="I21" s="24"/>
      <c r="J21" s="24"/>
      <c r="K21" s="24"/>
      <c r="L21" s="24"/>
    </row>
    <row r="22" spans="1:12" ht="15" customHeight="1" x14ac:dyDescent="0.35">
      <c r="A22" s="116" t="s">
        <v>275</v>
      </c>
      <c r="B22" s="116" t="str">
        <f t="array" aca="1" ref="B22" ca="1">IFERROR(INDEX(EXERCISES!C$2:C$166,SMALL(IF((EXERCISES!A$2:A$166=PROFILE!$B$15)*(EXERCISES!B$2:B$166=PROFILE!$B$22),ROW(EXERCISES!A$2:A$166)-ROW(EXERCISES!A$2)+1),RANDBETWEEN(1,MAX(1,COUNTIFS(EXERCISES!A$2:A$166,PROFILE!$B$15,EXERCISES!B$2:B$166,PROFILE!$B$22))))),"Нет упражнения")</f>
        <v>Rolling to tummy</v>
      </c>
      <c r="C22" s="116" t="str">
        <f t="array" aca="1" ref="C22" ca="1">IFERROR(INDEX(EXERCISES!D$2:D$166,SMALL(IF((EXERCISES!A$2:A$166=PROFILE!$B$15)*(EXERCISES!B$2:B$166=PROFILE!$B$22),ROW(EXERCISES!A$2:A$166)-ROW(EXERCISES!A$2)+1),RANDBETWEEN(1,MAX(1,COUNTIFS(EXERCISES!A$2:A$166,PROFILE!$B$15,EXERCISES!B$2:B$166,PROFILE!$B$22))))),"—")</f>
        <v>back and forth</v>
      </c>
      <c r="D22" s="116"/>
      <c r="E22" s="116"/>
      <c r="F22" s="116"/>
      <c r="G22" s="116"/>
    </row>
    <row r="23" spans="1:12" ht="15" customHeight="1" x14ac:dyDescent="0.35">
      <c r="A23" s="116" t="s">
        <v>276</v>
      </c>
      <c r="B23" s="116" t="str">
        <f t="array" aca="1" ref="B23" ca="1">IFERROR(INDEX(EXERCISES!C$2:C$166,SMALL(IF((EXERCISES!A$2:A$166=PROFILE!$B$15)*(EXERCISES!B$2:B$166=PROFILE!$B$22),ROW(EXERCISES!A$2:A$166)-ROW(EXERCISES!A$2)+1),RANDBETWEEN(1,MAX(1,COUNTIFS(EXERCISES!A$2:A$166,PROFILE!$B$15,EXERCISES!B$2:B$166,PROFILE!$B$22))))),"Нет упражнения")</f>
        <v>Leg lifts lying</v>
      </c>
      <c r="C23" s="116" t="str">
        <f t="array" aca="1" ref="C23" ca="1">IFERROR(INDEX(EXERCISES!D$2:D$166,SMALL(IF((EXERCISES!A$2:A$166=PROFILE!$B$15)*(EXERCISES!B$2:B$166=PROFILE!$B$22),ROW(EXERCISES!A$2:A$166)-ROW(EXERCISES!A$2)+1),RANDBETWEEN(1,MAX(1,COUNTIFS(EXERCISES!A$2:A$166,PROFILE!$B$15,EXERCISES!B$2:B$166,PROFILE!$B$22))))),"—")</f>
        <v>trunk support</v>
      </c>
      <c r="D23" s="116"/>
      <c r="E23" s="116"/>
      <c r="F23" s="116"/>
      <c r="G23" s="116"/>
    </row>
    <row r="24" spans="1:12" ht="15" customHeight="1" x14ac:dyDescent="0.35">
      <c r="A24" s="116" t="s">
        <v>277</v>
      </c>
      <c r="B24" s="116" t="str">
        <f t="array" aca="1" ref="B24" ca="1">IFERROR(INDEX(EXERCISES!C$2:C$166,SMALL(IF((EXERCISES!A$2:A$166=PROFILE!$B$15)*(EXERCISES!B$2:B$166=PROFILE!$B$22),ROW(EXERCISES!A$2:A$166)-ROW(EXERCISES!A$2)+1),RANDBETWEEN(1,MAX(1,COUNTIFS(EXERCISES!A$2:A$166,PROFILE!$B$15,EXERCISES!B$2:B$166,PROFILE!$B$22))))),"Нет упражнения")</f>
        <v>Leg lifts lying</v>
      </c>
      <c r="C24" s="116" t="str">
        <f t="array" aca="1" ref="C24" ca="1">IFERROR(INDEX(EXERCISES!D$2:D$166,SMALL(IF((EXERCISES!A$2:A$166=PROFILE!$B$15)*(EXERCISES!B$2:B$166=PROFILE!$B$22),ROW(EXERCISES!A$2:A$166)-ROW(EXERCISES!A$2)+1),RANDBETWEEN(1,MAX(1,COUNTIFS(EXERCISES!A$2:A$166,PROFILE!$B$15,EXERCISES!B$2:B$166,PROFILE!$B$22))))),"—")</f>
        <v>lying on tummy</v>
      </c>
      <c r="D24" s="116"/>
      <c r="E24" s="116"/>
      <c r="F24" s="116"/>
      <c r="G24" s="116"/>
    </row>
    <row r="25" spans="1:12" ht="15" customHeight="1" x14ac:dyDescent="0.35">
      <c r="A25" s="116" t="s">
        <v>278</v>
      </c>
      <c r="B25" s="116" t="str">
        <f t="array" aca="1" ref="B25" ca="1">IFERROR(INDEX(EXERCISES!C$2:C$166,SMALL(IF((EXERCISES!A$2:A$166=PROFILE!$B$15)*(EXERCISES!B$2:B$166=PROFILE!$B$22),ROW(EXERCISES!A$2:A$166)-ROW(EXERCISES!A$2)+1),RANDBETWEEN(1,MAX(1,COUNTIFS(EXERCISES!A$2:A$166,PROFILE!$B$15,EXERCISES!B$2:B$166,PROFILE!$B$22))))),"Нет упражнения")</f>
        <v>Leg lifts lying</v>
      </c>
      <c r="C25" s="116" t="str">
        <f t="array" aca="1" ref="C25" ca="1">IFERROR(INDEX(EXERCISES!D$2:D$166,SMALL(IF((EXERCISES!A$2:A$166=PROFILE!$B$15)*(EXERCISES!B$2:B$166=PROFILE!$B$22),ROW(EXERCISES!A$2:A$166)-ROW(EXERCISES!A$2)+1),RANDBETWEEN(1,MAX(1,COUNTIFS(EXERCISES!A$2:A$166,PROFILE!$B$15,EXERCISES!B$2:B$166,PROFILE!$B$22))))),"—")</f>
        <v>arm support</v>
      </c>
      <c r="D25" s="116"/>
      <c r="E25" s="116"/>
      <c r="F25" s="116"/>
      <c r="G25" s="116"/>
    </row>
    <row r="26" spans="1:12" ht="15" customHeight="1" x14ac:dyDescent="0.35">
      <c r="A26" s="116" t="s">
        <v>279</v>
      </c>
      <c r="B26" s="116" t="str">
        <f t="array" aca="1" ref="B26" ca="1">IFERROR(INDEX(EXERCISES!C$2:C$166,SMALL(IF((EXERCISES!A$2:A$166=PROFILE!$B$15)*(EXERCISES!B$2:B$166=PROFILE!$B$22),ROW(EXERCISES!A$2:A$166)-ROW(EXERCISES!A$2)+1),RANDBETWEEN(1,MAX(1,COUNTIFS(EXERCISES!A$2:A$166,PROFILE!$B$15,EXERCISES!B$2:B$166,PROFILE!$B$22))))),"Нет упражнения")</f>
        <v>Crawling to toy</v>
      </c>
      <c r="C26" s="116" t="str">
        <f t="array" aca="1" ref="C26" ca="1">IFERROR(INDEX(EXERCISES!D$2:D$166,SMALL(IF((EXERCISES!A$2:A$166=PROFILE!$B$15)*(EXERCISES!B$2:B$166=PROFILE!$B$22),ROW(EXERCISES!A$2:A$166)-ROW(EXERCISES!A$2)+1),RANDBETWEEN(1,MAX(1,COUNTIFS(EXERCISES!A$2:A$166,PROFILE!$B$15,EXERCISES!B$2:B$166,PROFILE!$B$22))))),"—")</f>
        <v>lying on tummy</v>
      </c>
      <c r="D26" s="116"/>
      <c r="E26" s="116"/>
      <c r="F26" s="116"/>
      <c r="G26" s="116"/>
    </row>
    <row r="27" spans="1:12" ht="15" customHeight="1" x14ac:dyDescent="0.35">
      <c r="A27" s="116" t="s">
        <v>280</v>
      </c>
      <c r="B27" s="116" t="str">
        <f t="array" aca="1" ref="B27" ca="1">IFERROR(INDEX(EXERCISES!C$2:C$166,SMALL(IF((EXERCISES!A$2:A$166=PROFILE!$B$15)*(EXERCISES!B$2:B$166=PROFILE!$B$22),ROW(EXERCISES!A$2:A$166)-ROW(EXERCISES!A$2)+1),RANDBETWEEN(1,MAX(1,COUNTIFS(EXERCISES!A$2:A$166,PROFILE!$B$15,EXERCISES!B$2:B$166,PROFILE!$B$22))))),"Нет упражнения")</f>
        <v>Crawling to toy</v>
      </c>
      <c r="C27" s="116" t="str">
        <f t="array" aca="1" ref="C27" ca="1">IFERROR(INDEX(EXERCISES!D$2:D$166,SMALL(IF((EXERCISES!A$2:A$166=PROFILE!$B$15)*(EXERCISES!B$2:B$166=PROFILE!$B$22),ROW(EXERCISES!A$2:A$166)-ROW(EXERCISES!A$2)+1),RANDBETWEEN(1,MAX(1,COUNTIFS(EXERCISES!A$2:A$166,PROFILE!$B$15,EXERCISES!B$2:B$166,PROFILE!$B$22))))),"—")</f>
        <v>back and forth</v>
      </c>
      <c r="D27" s="116"/>
      <c r="E27" s="116"/>
      <c r="F27" s="116"/>
      <c r="G27" s="116"/>
    </row>
    <row r="28" spans="1:12" ht="15" customHeight="1" x14ac:dyDescent="0.35">
      <c r="A28" s="116" t="s">
        <v>281</v>
      </c>
      <c r="B28" s="116" t="str">
        <f t="array" aca="1" ref="B28" ca="1">IFERROR(INDEX(EXERCISES!C$2:C$166,SMALL(IF((EXERCISES!A$2:A$166=PROFILE!$B$15)*(EXERCISES!B$2:B$166=PROFILE!$B$22),ROW(EXERCISES!A$2:A$166)-ROW(EXERCISES!A$2)+1),RANDBETWEEN(1,MAX(1,COUNTIFS(EXERCISES!A$2:A$166,PROFILE!$B$15,EXERCISES!B$2:B$166,PROFILE!$B$22))))),"Нет упражнения")</f>
        <v>Crawling to toy</v>
      </c>
      <c r="C28" s="116" t="str">
        <f t="array" aca="1" ref="C28" ca="1">IFERROR(INDEX(EXERCISES!D$2:D$166,SMALL(IF((EXERCISES!A$2:A$166=PROFILE!$B$15)*(EXERCISES!B$2:B$166=PROFILE!$B$22),ROW(EXERCISES!A$2:A$166)-ROW(EXERCISES!A$2)+1),RANDBETWEEN(1,MAX(1,COUNTIFS(EXERCISES!A$2:A$166,PROFILE!$B$15,EXERCISES!B$2:B$166,PROFILE!$B$22))))),"—")</f>
        <v>over shoulder</v>
      </c>
      <c r="D28" s="116"/>
      <c r="E28" s="116"/>
      <c r="F28" s="116"/>
      <c r="G28" s="116"/>
    </row>
    <row r="29" spans="1:12" ht="15" customHeight="1" x14ac:dyDescent="0.35">
      <c r="A29" s="116" t="s">
        <v>282</v>
      </c>
      <c r="B29" s="116" t="str">
        <f t="array" aca="1" ref="B29" ca="1">IFERROR(INDEX(EXERCISES!C$2:C$166,SMALL(IF((EXERCISES!A$2:A$166=PROFILE!$B$15)*(EXERCISES!B$2:B$166=PROFILE!$B$22),ROW(EXERCISES!A$2:A$166)-ROW(EXERCISES!A$2)+1),RANDBETWEEN(1,MAX(1,COUNTIFS(EXERCISES!A$2:A$166,PROFILE!$B$15,EXERCISES!B$2:B$166,PROFILE!$B$22))))),"Нет упражнения")</f>
        <v>Head lifting</v>
      </c>
      <c r="C29" s="116" t="str">
        <f t="array" aca="1" ref="C29" ca="1">IFERROR(INDEX(EXERCISES!D$2:D$166,SMALL(IF((EXERCISES!A$2:A$166=PROFILE!$B$15)*(EXERCISES!B$2:B$166=PROFILE!$B$22),ROW(EXERCISES!A$2:A$166)-ROW(EXERCISES!A$2)+1),RANDBETWEEN(1,MAX(1,COUNTIFS(EXERCISES!A$2:A$166,PROFILE!$B$15,EXERCISES!B$2:B$166,PROFILE!$B$22))))),"—")</f>
        <v>arm support</v>
      </c>
      <c r="D29" s="116"/>
      <c r="E29" s="116"/>
      <c r="F29" s="116"/>
      <c r="G29" s="116"/>
    </row>
    <row r="30" spans="1:12" ht="15" customHeight="1" x14ac:dyDescent="0.35">
      <c r="A30" s="116" t="s">
        <v>283</v>
      </c>
      <c r="B30" s="116" t="str">
        <f t="array" aca="1" ref="B30" ca="1">IFERROR(INDEX(EXERCISES!C$2:C$166,SMALL(IF((EXERCISES!A$2:A$166=PROFILE!$B$15)*(EXERCISES!B$2:B$166=PROFILE!$B$22),ROW(EXERCISES!A$2:A$166)-ROW(EXERCISES!A$2)+1),RANDBETWEEN(1,MAX(1,COUNTIFS(EXERCISES!A$2:A$166,PROFILE!$B$15,EXERCISES!B$2:B$166,PROFILE!$B$22))))),"Нет упражнения")</f>
        <v>Prop on elbows</v>
      </c>
      <c r="C30" s="116" t="str">
        <f t="array" aca="1" ref="C30" ca="1">IFERROR(INDEX(EXERCISES!D$2:D$166,SMALL(IF((EXERCISES!A$2:A$166=PROFILE!$B$15)*(EXERCISES!B$2:B$166=PROFILE!$B$22),ROW(EXERCISES!A$2:A$166)-ROW(EXERCISES!A$2)+1),RANDBETWEEN(1,MAX(1,COUNTIFS(EXERCISES!A$2:A$166,PROFILE!$B$15,EXERCISES!B$2:B$166,PROFILE!$B$22))))),"—")</f>
        <v>holding</v>
      </c>
      <c r="D30" s="116"/>
      <c r="E30" s="116"/>
      <c r="F30" s="116"/>
      <c r="G30" s="116"/>
    </row>
    <row r="31" spans="1:12" ht="15" customHeight="1" x14ac:dyDescent="0.35">
      <c r="A31" s="116" t="s">
        <v>284</v>
      </c>
      <c r="B31" s="116" t="str">
        <f t="array" aca="1" ref="B31" ca="1">IFERROR(INDEX(EXERCISES!C$2:C$166,SMALL(IF((EXERCISES!A$2:A$166=PROFILE!$B$15)*(EXERCISES!B$2:B$166=PROFILE!$B$22),ROW(EXERCISES!A$2:A$166)-ROW(EXERCISES!A$2)+1),RANDBETWEEN(1,MAX(1,COUNTIFS(EXERCISES!A$2:A$166,PROFILE!$B$15,EXERCISES!B$2:B$166,PROFILE!$B$22))))),"Нет упражнения")</f>
        <v>Leg lifts lying</v>
      </c>
      <c r="C31" s="116" t="str">
        <f t="array" aca="1" ref="C31" ca="1">IFERROR(INDEX(EXERCISES!D$2:D$166,SMALL(IF((EXERCISES!A$2:A$166=PROFILE!$B$15)*(EXERCISES!B$2:B$166=PROFILE!$B$22),ROW(EXERCISES!A$2:A$166)-ROW(EXERCISES!A$2)+1),RANDBETWEEN(1,MAX(1,COUNTIFS(EXERCISES!A$2:A$166,PROFILE!$B$15,EXERCISES!B$2:B$166,PROFILE!$B$22))))),"—")</f>
        <v>leg assistance</v>
      </c>
      <c r="D31" s="116"/>
      <c r="E31" s="116"/>
      <c r="F31" s="116"/>
      <c r="G31" s="116"/>
    </row>
    <row r="32" spans="1:12" ht="15" customHeight="1" x14ac:dyDescent="0.35">
      <c r="A32" s="116" t="s">
        <v>285</v>
      </c>
      <c r="B32" s="116" t="str">
        <f t="array" aca="1" ref="B32" ca="1">IFERROR(INDEX(EXERCISES!C$2:C$166,SMALL(IF((EXERCISES!A$2:A$166=PROFILE!$B$15)*(EXERCISES!B$2:B$166=PROFILE!$B$22),ROW(EXERCISES!A$2:A$166)-ROW(EXERCISES!A$2)+1),RANDBETWEEN(1,MAX(1,COUNTIFS(EXERCISES!A$2:A$166,PROFILE!$B$15,EXERCISES!B$2:B$166,PROFILE!$B$22))))),"Нет упражнения")</f>
        <v>Rolling to tummy</v>
      </c>
      <c r="C32" s="116" t="str">
        <f t="array" aca="1" ref="C32" ca="1">IFERROR(INDEX(EXERCISES!D$2:D$166,SMALL(IF((EXERCISES!A$2:A$166=PROFILE!$B$15)*(EXERCISES!B$2:B$166=PROFILE!$B$22),ROW(EXERCISES!A$2:A$166)-ROW(EXERCISES!A$2)+1),RANDBETWEEN(1,MAX(1,COUNTIFS(EXERCISES!A$2:A$166,PROFILE!$B$15,EXERCISES!B$2:B$166,PROFILE!$B$22))))),"—")</f>
        <v>holding</v>
      </c>
      <c r="D32" s="116"/>
      <c r="E32" s="116"/>
      <c r="F32" s="116"/>
      <c r="G32" s="116"/>
    </row>
    <row r="33" spans="1:7" ht="15" customHeight="1" x14ac:dyDescent="0.35">
      <c r="A33" s="116" t="s">
        <v>286</v>
      </c>
      <c r="B33" s="116" t="str">
        <f t="array" aca="1" ref="B33" ca="1">IFERROR(INDEX(EXERCISES!C$2:C$166,SMALL(IF((EXERCISES!A$2:A$166=PROFILE!$B$15)*(EXERCISES!B$2:B$166=PROFILE!$B$22),ROW(EXERCISES!A$2:A$166)-ROW(EXERCISES!A$2)+1),RANDBETWEEN(1,MAX(1,COUNTIFS(EXERCISES!A$2:A$166,PROFILE!$B$15,EXERCISES!B$2:B$166,PROFILE!$B$22))))),"Нет упражнения")</f>
        <v>All-fours position</v>
      </c>
      <c r="C33" s="116" t="str">
        <f t="array" aca="1" ref="C33" ca="1">IFERROR(INDEX(EXERCISES!D$2:D$166,SMALL(IF((EXERCISES!A$2:A$166=PROFILE!$B$15)*(EXERCISES!B$2:B$166=PROFILE!$B$22),ROW(EXERCISES!A$2:A$166)-ROW(EXERCISES!A$2)+1),RANDBETWEEN(1,MAX(1,COUNTIFS(EXERCISES!A$2:A$166,PROFILE!$B$15,EXERCISES!B$2:B$166,PROFILE!$B$22))))),"—")</f>
        <v>holding</v>
      </c>
      <c r="D33" s="116"/>
      <c r="E33" s="116"/>
      <c r="F33" s="116"/>
      <c r="G33" s="116"/>
    </row>
    <row r="34" spans="1:7" x14ac:dyDescent="0.35">
      <c r="A34" s="116"/>
      <c r="B34" s="116"/>
      <c r="C34" s="116"/>
      <c r="D34" s="116"/>
      <c r="E34" s="116"/>
      <c r="F34" s="116"/>
      <c r="G34" s="116"/>
    </row>
  </sheetData>
  <sheetProtection algorithmName="SHA-512" hashValue="OpOUvKXge1MxaVcRwFVIGK2yjQJ1tfe7ITnjmPaqO4FOdgpPM1SAsAV8rEo4nQ4jThSlOHgGmyhEjqJiNXIxKA==" saltValue="05/Ih+YystcXy9JDIOyoLQ==" spinCount="100000" sheet="1" objects="1" scenarios="1"/>
  <pageMargins left="0.75" right="0.75" top="1" bottom="1" header="0.511811023622047" footer="0.51180555555555596"/>
  <pageSetup paperSize="9" orientation="portrait" horizontalDpi="300" verticalDpi="300"/>
  <headerFooter>
    <oddFooter>&amp;C&amp;8 &amp;K888888© 2025 Rabiga Sagyndykova · LOLA System · Resale and redistribution prohibited&amp;R&amp;8 Стр. &amp;P из 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tabColor rgb="FFA6A6A6"/>
  </sheetPr>
  <dimension ref="A1:G329"/>
  <sheetViews>
    <sheetView topLeftCell="A47" zoomScaleNormal="100" workbookViewId="0">
      <selection activeCell="L19" sqref="L19"/>
    </sheetView>
  </sheetViews>
  <sheetFormatPr defaultColWidth="8.7265625" defaultRowHeight="14.5" x14ac:dyDescent="0.35"/>
  <cols>
    <col min="1" max="1" width="25.54296875" style="116" customWidth="1"/>
    <col min="2" max="2" width="5.453125" style="116" customWidth="1"/>
    <col min="3" max="3" width="8.7265625" style="116"/>
    <col min="4" max="4" width="5.81640625" style="1" customWidth="1"/>
    <col min="6" max="6" width="13.7265625" style="1" customWidth="1"/>
  </cols>
  <sheetData>
    <row r="1" spans="1:7" ht="30" customHeight="1" x14ac:dyDescent="0.35">
      <c r="A1" s="116" t="s">
        <v>59</v>
      </c>
      <c r="B1" s="115" t="s">
        <v>65</v>
      </c>
      <c r="C1" s="116" t="s">
        <v>287</v>
      </c>
      <c r="D1" s="55" t="s">
        <v>288</v>
      </c>
      <c r="F1" s="56" t="s">
        <v>59</v>
      </c>
      <c r="G1" s="110" t="s">
        <v>289</v>
      </c>
    </row>
    <row r="2" spans="1:7" ht="15" customHeight="1" x14ac:dyDescent="0.35">
      <c r="A2" s="116" t="str">
        <f>'0-1'!A10</f>
        <v>Gross Motor</v>
      </c>
      <c r="B2" s="116">
        <f>'0-1'!G10</f>
        <v>2.5</v>
      </c>
      <c r="C2" s="116">
        <f>'0-1'!F10</f>
        <v>0</v>
      </c>
      <c r="D2" t="str">
        <f t="shared" ref="D2:D33" si="0">"0-1"</f>
        <v>0-1</v>
      </c>
      <c r="F2" t="s">
        <v>29</v>
      </c>
      <c r="G2" s="57">
        <v>0.2</v>
      </c>
    </row>
    <row r="3" spans="1:7" ht="15" customHeight="1" x14ac:dyDescent="0.35">
      <c r="A3" s="116" t="str">
        <f>'0-1'!A11</f>
        <v>Gross Motor</v>
      </c>
      <c r="B3" s="116">
        <f>'0-1'!G11</f>
        <v>2.5</v>
      </c>
      <c r="C3" s="116">
        <f>'0-1'!F11</f>
        <v>0</v>
      </c>
      <c r="D3" t="str">
        <f t="shared" si="0"/>
        <v>0-1</v>
      </c>
      <c r="F3" t="s">
        <v>30</v>
      </c>
      <c r="G3" s="57">
        <v>0.15</v>
      </c>
    </row>
    <row r="4" spans="1:7" ht="15" customHeight="1" x14ac:dyDescent="0.35">
      <c r="A4" s="116" t="str">
        <f>'0-1'!A12</f>
        <v>Gross Motor</v>
      </c>
      <c r="B4" s="116">
        <f>'0-1'!G12</f>
        <v>3.5</v>
      </c>
      <c r="C4" s="116">
        <f>'0-1'!F12</f>
        <v>0</v>
      </c>
      <c r="D4" t="str">
        <f t="shared" si="0"/>
        <v>0-1</v>
      </c>
      <c r="F4" t="s">
        <v>31</v>
      </c>
      <c r="G4" s="57">
        <v>0.2</v>
      </c>
    </row>
    <row r="5" spans="1:7" ht="15" customHeight="1" x14ac:dyDescent="0.35">
      <c r="A5" s="116" t="str">
        <f>'0-1'!A13</f>
        <v>Gross Motor</v>
      </c>
      <c r="B5" s="116">
        <f>'0-1'!G13</f>
        <v>4.5</v>
      </c>
      <c r="C5" s="116">
        <f>'0-1'!F13</f>
        <v>0</v>
      </c>
      <c r="D5" t="str">
        <f t="shared" si="0"/>
        <v>0-1</v>
      </c>
      <c r="F5" t="s">
        <v>32</v>
      </c>
      <c r="G5" s="57">
        <v>0.15</v>
      </c>
    </row>
    <row r="6" spans="1:7" ht="15" customHeight="1" x14ac:dyDescent="0.35">
      <c r="A6" s="116" t="str">
        <f>'0-1'!A14</f>
        <v>Gross Motor</v>
      </c>
      <c r="B6" s="116">
        <f>'0-1'!G14</f>
        <v>3.5</v>
      </c>
      <c r="C6" s="116">
        <f>'0-1'!F14</f>
        <v>0</v>
      </c>
      <c r="D6" t="str">
        <f t="shared" si="0"/>
        <v>0-1</v>
      </c>
      <c r="F6" t="s">
        <v>33</v>
      </c>
      <c r="G6" s="57">
        <v>0.1</v>
      </c>
    </row>
    <row r="7" spans="1:7" ht="15" customHeight="1" x14ac:dyDescent="0.35">
      <c r="A7" s="116" t="str">
        <f>'0-1'!A15</f>
        <v>Gross Motor</v>
      </c>
      <c r="B7" s="116">
        <f>'0-1'!G15</f>
        <v>5.5</v>
      </c>
      <c r="C7" s="116">
        <f>'0-1'!F15</f>
        <v>0</v>
      </c>
      <c r="D7" t="str">
        <f t="shared" si="0"/>
        <v>0-1</v>
      </c>
      <c r="F7" t="s">
        <v>34</v>
      </c>
      <c r="G7" s="57">
        <v>0.1</v>
      </c>
    </row>
    <row r="8" spans="1:7" ht="15" customHeight="1" x14ac:dyDescent="0.35">
      <c r="A8" s="116" t="str">
        <f>'0-1'!A16</f>
        <v>Gross Motor</v>
      </c>
      <c r="B8" s="116">
        <f>'0-1'!G16</f>
        <v>6.5</v>
      </c>
      <c r="C8" s="116">
        <f>'0-1'!F16</f>
        <v>0</v>
      </c>
      <c r="D8" t="str">
        <f t="shared" si="0"/>
        <v>0-1</v>
      </c>
      <c r="F8" t="s">
        <v>35</v>
      </c>
      <c r="G8" s="57">
        <v>0.1</v>
      </c>
    </row>
    <row r="9" spans="1:7" ht="15" customHeight="1" x14ac:dyDescent="0.35">
      <c r="A9" s="116" t="str">
        <f>'0-1'!A17</f>
        <v>Gross Motor</v>
      </c>
      <c r="B9" s="116">
        <f>'0-1'!G17</f>
        <v>8</v>
      </c>
      <c r="C9" s="116">
        <f>'0-1'!F17</f>
        <v>0</v>
      </c>
      <c r="D9" t="str">
        <f t="shared" si="0"/>
        <v>0-1</v>
      </c>
    </row>
    <row r="10" spans="1:7" ht="15" customHeight="1" x14ac:dyDescent="0.35">
      <c r="A10" s="116" t="str">
        <f>'0-1'!A18</f>
        <v>Gross Motor</v>
      </c>
      <c r="B10" s="116">
        <f>'0-1'!G18</f>
        <v>7</v>
      </c>
      <c r="C10" s="116">
        <f>'0-1'!F18</f>
        <v>0</v>
      </c>
      <c r="D10" t="str">
        <f t="shared" si="0"/>
        <v>0-1</v>
      </c>
    </row>
    <row r="11" spans="1:7" ht="15" customHeight="1" x14ac:dyDescent="0.35">
      <c r="A11" s="116" t="str">
        <f>'0-1'!A19</f>
        <v>Gross Motor</v>
      </c>
      <c r="B11" s="116">
        <f>'0-1'!G19</f>
        <v>8.5</v>
      </c>
      <c r="C11" s="116">
        <f>'0-1'!F19</f>
        <v>0</v>
      </c>
      <c r="D11" t="str">
        <f t="shared" si="0"/>
        <v>0-1</v>
      </c>
    </row>
    <row r="12" spans="1:7" ht="15" customHeight="1" x14ac:dyDescent="0.35">
      <c r="A12" s="116" t="str">
        <f>'0-1'!A20</f>
        <v>Gross Motor</v>
      </c>
      <c r="B12" s="116">
        <f>'0-1'!G20</f>
        <v>10</v>
      </c>
      <c r="C12" s="116">
        <f>'0-1'!F20</f>
        <v>0</v>
      </c>
      <c r="D12" t="str">
        <f t="shared" si="0"/>
        <v>0-1</v>
      </c>
    </row>
    <row r="13" spans="1:7" ht="15" customHeight="1" x14ac:dyDescent="0.35">
      <c r="A13" s="116" t="str">
        <f>'0-1'!A21</f>
        <v>Gross Motor</v>
      </c>
      <c r="B13" s="116">
        <f>'0-1'!G21</f>
        <v>10.5</v>
      </c>
      <c r="C13" s="116">
        <f>'0-1'!F21</f>
        <v>0</v>
      </c>
      <c r="D13" t="str">
        <f t="shared" si="0"/>
        <v>0-1</v>
      </c>
    </row>
    <row r="14" spans="1:7" ht="15" customHeight="1" x14ac:dyDescent="0.35">
      <c r="A14" s="116" t="str">
        <f>'0-1'!A22</f>
        <v>Gross Motor</v>
      </c>
      <c r="B14" s="116">
        <f>'0-1'!G22</f>
        <v>12</v>
      </c>
      <c r="C14" s="116">
        <f>'0-1'!F22</f>
        <v>0</v>
      </c>
      <c r="D14" t="str">
        <f t="shared" si="0"/>
        <v>0-1</v>
      </c>
    </row>
    <row r="15" spans="1:7" ht="15" customHeight="1" x14ac:dyDescent="0.35">
      <c r="A15" s="116" t="str">
        <f>'0-1'!A23</f>
        <v>FINE MOTOR SKILLS</v>
      </c>
      <c r="B15" s="116">
        <f>'0-1'!G23</f>
        <v>0</v>
      </c>
      <c r="C15" s="116">
        <f>'0-1'!F23</f>
        <v>0</v>
      </c>
      <c r="D15" t="str">
        <f t="shared" si="0"/>
        <v>0-1</v>
      </c>
    </row>
    <row r="16" spans="1:7" ht="15" customHeight="1" x14ac:dyDescent="0.35">
      <c r="A16" s="116" t="str">
        <f>'0-1'!A24</f>
        <v>Fine Motor</v>
      </c>
      <c r="B16" s="116">
        <f>'0-1'!G24</f>
        <v>2.5</v>
      </c>
      <c r="C16" s="116">
        <f>'0-1'!F24</f>
        <v>0</v>
      </c>
      <c r="D16" t="str">
        <f t="shared" si="0"/>
        <v>0-1</v>
      </c>
    </row>
    <row r="17" spans="1:4" ht="15" customHeight="1" x14ac:dyDescent="0.35">
      <c r="A17" s="116" t="str">
        <f>'0-1'!A25</f>
        <v>Fine Motor</v>
      </c>
      <c r="B17" s="116">
        <f>'0-1'!G25</f>
        <v>3.5</v>
      </c>
      <c r="C17" s="116">
        <f>'0-1'!F25</f>
        <v>0</v>
      </c>
      <c r="D17" t="str">
        <f t="shared" si="0"/>
        <v>0-1</v>
      </c>
    </row>
    <row r="18" spans="1:4" ht="15" customHeight="1" x14ac:dyDescent="0.35">
      <c r="A18" s="116" t="str">
        <f>'0-1'!A26</f>
        <v>Fine Motor</v>
      </c>
      <c r="B18" s="116">
        <f>'0-1'!G26</f>
        <v>3.5</v>
      </c>
      <c r="C18" s="116">
        <f>'0-1'!F26</f>
        <v>0</v>
      </c>
      <c r="D18" t="str">
        <f t="shared" si="0"/>
        <v>0-1</v>
      </c>
    </row>
    <row r="19" spans="1:4" ht="15" customHeight="1" x14ac:dyDescent="0.35">
      <c r="A19" s="116" t="str">
        <f>'0-1'!A27</f>
        <v>Fine Motor</v>
      </c>
      <c r="B19" s="116">
        <f>'0-1'!G27</f>
        <v>4.5</v>
      </c>
      <c r="C19" s="116">
        <f>'0-1'!F27</f>
        <v>0</v>
      </c>
      <c r="D19" t="str">
        <f t="shared" si="0"/>
        <v>0-1</v>
      </c>
    </row>
    <row r="20" spans="1:4" ht="15" customHeight="1" x14ac:dyDescent="0.35">
      <c r="A20" s="116" t="str">
        <f>'0-1'!A28</f>
        <v>Fine Motor</v>
      </c>
      <c r="B20" s="116">
        <f>'0-1'!G28</f>
        <v>6.5</v>
      </c>
      <c r="C20" s="116">
        <f>'0-1'!F28</f>
        <v>0</v>
      </c>
      <c r="D20" t="str">
        <f t="shared" si="0"/>
        <v>0-1</v>
      </c>
    </row>
    <row r="21" spans="1:4" ht="15" customHeight="1" x14ac:dyDescent="0.35">
      <c r="A21" s="116" t="str">
        <f>'0-1'!A29</f>
        <v>Fine Motor</v>
      </c>
      <c r="B21" s="116">
        <f>'0-1'!G29</f>
        <v>7</v>
      </c>
      <c r="C21" s="116">
        <f>'0-1'!F29</f>
        <v>0</v>
      </c>
      <c r="D21" t="str">
        <f t="shared" si="0"/>
        <v>0-1</v>
      </c>
    </row>
    <row r="22" spans="1:4" ht="15" customHeight="1" x14ac:dyDescent="0.35">
      <c r="A22" s="116" t="str">
        <f>'0-1'!A30</f>
        <v>Fine Motor</v>
      </c>
      <c r="B22" s="116">
        <f>'0-1'!G30</f>
        <v>9.5</v>
      </c>
      <c r="C22" s="116">
        <f>'0-1'!F30</f>
        <v>0</v>
      </c>
      <c r="D22" t="str">
        <f t="shared" si="0"/>
        <v>0-1</v>
      </c>
    </row>
    <row r="23" spans="1:4" ht="15" customHeight="1" x14ac:dyDescent="0.35">
      <c r="A23" s="116" t="str">
        <f>'0-1'!A31</f>
        <v>Fine Motor</v>
      </c>
      <c r="B23" s="116">
        <f>'0-1'!G31</f>
        <v>11</v>
      </c>
      <c r="C23" s="116">
        <f>'0-1'!F31</f>
        <v>0</v>
      </c>
      <c r="D23" t="str">
        <f t="shared" si="0"/>
        <v>0-1</v>
      </c>
    </row>
    <row r="24" spans="1:4" ht="15" customHeight="1" x14ac:dyDescent="0.35">
      <c r="A24" s="116" t="str">
        <f>'0-1'!A32</f>
        <v>SENSORY DEVELOPMENT</v>
      </c>
      <c r="B24" s="116">
        <f>'0-1'!G32</f>
        <v>0</v>
      </c>
      <c r="C24" s="116">
        <f>'0-1'!F32</f>
        <v>0</v>
      </c>
      <c r="D24" t="str">
        <f t="shared" si="0"/>
        <v>0-1</v>
      </c>
    </row>
    <row r="25" spans="1:4" ht="15" customHeight="1" x14ac:dyDescent="0.35">
      <c r="A25" s="116" t="str">
        <f>'0-1'!A38</f>
        <v xml:space="preserve">Sensory </v>
      </c>
      <c r="B25" s="116">
        <f>'0-1'!G33</f>
        <v>1.5</v>
      </c>
      <c r="C25" s="116">
        <f>'0-1'!F33</f>
        <v>0</v>
      </c>
      <c r="D25" t="str">
        <f t="shared" si="0"/>
        <v>0-1</v>
      </c>
    </row>
    <row r="26" spans="1:4" ht="15" customHeight="1" x14ac:dyDescent="0.35">
      <c r="A26" s="116" t="str">
        <f>'0-1'!A34</f>
        <v xml:space="preserve">Sensory </v>
      </c>
      <c r="B26" s="116">
        <f>'0-1'!G34</f>
        <v>2.5</v>
      </c>
      <c r="C26" s="116">
        <f>'0-1'!F34</f>
        <v>0</v>
      </c>
      <c r="D26" t="str">
        <f t="shared" si="0"/>
        <v>0-1</v>
      </c>
    </row>
    <row r="27" spans="1:4" ht="15" customHeight="1" x14ac:dyDescent="0.35">
      <c r="A27" s="116" t="str">
        <f>'0-1'!A35</f>
        <v xml:space="preserve">Sensory </v>
      </c>
      <c r="B27" s="116">
        <f>'0-1'!G35</f>
        <v>1.5</v>
      </c>
      <c r="C27" s="116">
        <f>'0-1'!F35</f>
        <v>0</v>
      </c>
      <c r="D27" t="str">
        <f t="shared" si="0"/>
        <v>0-1</v>
      </c>
    </row>
    <row r="28" spans="1:4" ht="15" customHeight="1" x14ac:dyDescent="0.35">
      <c r="A28" s="116" t="str">
        <f>'0-1'!A36</f>
        <v xml:space="preserve">Sensory </v>
      </c>
      <c r="B28" s="116">
        <f>'0-1'!G36</f>
        <v>3.5</v>
      </c>
      <c r="C28" s="116">
        <f>'0-1'!F36</f>
        <v>0</v>
      </c>
      <c r="D28" t="str">
        <f t="shared" si="0"/>
        <v>0-1</v>
      </c>
    </row>
    <row r="29" spans="1:4" ht="15" customHeight="1" x14ac:dyDescent="0.35">
      <c r="A29" s="116" t="str">
        <f>'0-1'!A37</f>
        <v xml:space="preserve">Sensory </v>
      </c>
      <c r="B29" s="116">
        <f>'0-1'!G37</f>
        <v>3.5</v>
      </c>
      <c r="C29" s="116">
        <f>'0-1'!F37</f>
        <v>0</v>
      </c>
      <c r="D29" t="str">
        <f t="shared" si="0"/>
        <v>0-1</v>
      </c>
    </row>
    <row r="30" spans="1:4" ht="15" customHeight="1" x14ac:dyDescent="0.35">
      <c r="A30" s="116" t="str">
        <f>'0-1'!A38</f>
        <v xml:space="preserve">Sensory </v>
      </c>
      <c r="B30" s="116">
        <f>'0-1'!G38</f>
        <v>5</v>
      </c>
      <c r="C30" s="116">
        <f>'0-1'!F38</f>
        <v>0</v>
      </c>
      <c r="D30" t="str">
        <f t="shared" si="0"/>
        <v>0-1</v>
      </c>
    </row>
    <row r="31" spans="1:4" ht="15" customHeight="1" x14ac:dyDescent="0.35">
      <c r="A31" s="116" t="str">
        <f>'0-1'!A39</f>
        <v xml:space="preserve">Sensory </v>
      </c>
      <c r="B31" s="116">
        <f>'0-1'!G39</f>
        <v>7.5</v>
      </c>
      <c r="C31" s="116">
        <f>'0-1'!F39</f>
        <v>0</v>
      </c>
      <c r="D31" t="str">
        <f t="shared" si="0"/>
        <v>0-1</v>
      </c>
    </row>
    <row r="32" spans="1:4" ht="15" customHeight="1" x14ac:dyDescent="0.35">
      <c r="A32" s="116" t="str">
        <f>'0-1'!A40</f>
        <v>SPEECH &amp; COMMUNICATION</v>
      </c>
      <c r="B32" s="116">
        <f>'0-1'!G40</f>
        <v>0</v>
      </c>
      <c r="C32" s="116">
        <f>'0-1'!F40</f>
        <v>0</v>
      </c>
      <c r="D32" t="str">
        <f t="shared" si="0"/>
        <v>0-1</v>
      </c>
    </row>
    <row r="33" spans="1:4" ht="15" customHeight="1" x14ac:dyDescent="0.35">
      <c r="A33" s="116" t="str">
        <f>'0-1'!A41</f>
        <v>Speech</v>
      </c>
      <c r="B33" s="116">
        <f>'0-1'!G41</f>
        <v>2.5</v>
      </c>
      <c r="C33" s="116">
        <f>'0-1'!F41</f>
        <v>0</v>
      </c>
      <c r="D33" t="str">
        <f t="shared" si="0"/>
        <v>0-1</v>
      </c>
    </row>
    <row r="34" spans="1:4" ht="15" customHeight="1" x14ac:dyDescent="0.35">
      <c r="A34" s="116" t="str">
        <f>'0-1'!A42</f>
        <v>Speech</v>
      </c>
      <c r="B34" s="116">
        <f>'0-1'!G42</f>
        <v>5.5</v>
      </c>
      <c r="C34" s="116">
        <f>'0-1'!F42</f>
        <v>0</v>
      </c>
      <c r="D34" t="str">
        <f t="shared" ref="D34:D59" si="1">"0-1"</f>
        <v>0-1</v>
      </c>
    </row>
    <row r="35" spans="1:4" ht="15" customHeight="1" x14ac:dyDescent="0.35">
      <c r="A35" s="116" t="str">
        <f>'0-1'!A43</f>
        <v>Speech</v>
      </c>
      <c r="B35" s="116">
        <f>'0-1'!G43</f>
        <v>6.5</v>
      </c>
      <c r="C35" s="116">
        <f>'0-1'!F43</f>
        <v>0</v>
      </c>
      <c r="D35" t="str">
        <f t="shared" si="1"/>
        <v>0-1</v>
      </c>
    </row>
    <row r="36" spans="1:4" ht="15" customHeight="1" x14ac:dyDescent="0.35">
      <c r="A36" s="116" t="str">
        <f>'0-1'!A44</f>
        <v>Speech</v>
      </c>
      <c r="B36" s="116">
        <f>'0-1'!G44</f>
        <v>6.5</v>
      </c>
      <c r="C36" s="116">
        <f>'0-1'!F44</f>
        <v>0</v>
      </c>
      <c r="D36" t="str">
        <f t="shared" si="1"/>
        <v>0-1</v>
      </c>
    </row>
    <row r="37" spans="1:4" ht="15" customHeight="1" x14ac:dyDescent="0.35">
      <c r="A37" s="116" t="str">
        <f>'0-1'!A45</f>
        <v>Speech</v>
      </c>
      <c r="B37" s="116">
        <f>'0-1'!G45</f>
        <v>8</v>
      </c>
      <c r="C37" s="116">
        <f>'0-1'!F45</f>
        <v>0</v>
      </c>
      <c r="D37" t="str">
        <f t="shared" si="1"/>
        <v>0-1</v>
      </c>
    </row>
    <row r="38" spans="1:4" ht="15" customHeight="1" x14ac:dyDescent="0.35">
      <c r="A38" s="116" t="str">
        <f>'0-1'!A46</f>
        <v>Speech</v>
      </c>
      <c r="B38" s="116">
        <f>'0-1'!G46</f>
        <v>9</v>
      </c>
      <c r="C38" s="116">
        <f>'0-1'!F46</f>
        <v>0</v>
      </c>
      <c r="D38" t="str">
        <f t="shared" si="1"/>
        <v>0-1</v>
      </c>
    </row>
    <row r="39" spans="1:4" ht="15" customHeight="1" x14ac:dyDescent="0.35">
      <c r="A39" s="116" t="str">
        <f>'0-1'!A47</f>
        <v>Speech</v>
      </c>
      <c r="B39" s="116">
        <f>'0-1'!G47</f>
        <v>10</v>
      </c>
      <c r="C39" s="116">
        <f>'0-1'!F47</f>
        <v>0</v>
      </c>
      <c r="D39" t="str">
        <f t="shared" si="1"/>
        <v>0-1</v>
      </c>
    </row>
    <row r="40" spans="1:4" ht="15" customHeight="1" x14ac:dyDescent="0.35">
      <c r="A40" s="116" t="str">
        <f>'0-1'!A48</f>
        <v>Speech</v>
      </c>
      <c r="B40" s="116">
        <f>'0-1'!G48</f>
        <v>12</v>
      </c>
      <c r="C40" s="116">
        <f>'0-1'!F48</f>
        <v>0</v>
      </c>
      <c r="D40" t="str">
        <f t="shared" si="1"/>
        <v>0-1</v>
      </c>
    </row>
    <row r="41" spans="1:4" ht="15" customHeight="1" x14ac:dyDescent="0.35">
      <c r="A41" s="116" t="str">
        <f>'0-1'!A49</f>
        <v>COGNITIVE DEVELOPMENT</v>
      </c>
      <c r="B41" s="116">
        <f>'0-1'!G49</f>
        <v>0</v>
      </c>
      <c r="C41" s="116">
        <f>'0-1'!F49</f>
        <v>0</v>
      </c>
      <c r="D41" t="str">
        <f t="shared" si="1"/>
        <v>0-1</v>
      </c>
    </row>
    <row r="42" spans="1:4" ht="15" customHeight="1" x14ac:dyDescent="0.35">
      <c r="A42" s="116" t="str">
        <f>'0-1'!A50</f>
        <v>Cognitive</v>
      </c>
      <c r="B42" s="116">
        <f>'0-1'!G50</f>
        <v>2.5</v>
      </c>
      <c r="C42" s="116">
        <f>'0-1'!F50</f>
        <v>0</v>
      </c>
      <c r="D42" t="str">
        <f t="shared" si="1"/>
        <v>0-1</v>
      </c>
    </row>
    <row r="43" spans="1:4" ht="15" customHeight="1" x14ac:dyDescent="0.35">
      <c r="A43" s="116" t="str">
        <f>'0-1'!A51</f>
        <v>Cognitive</v>
      </c>
      <c r="B43" s="116">
        <f>'0-1'!G51</f>
        <v>7</v>
      </c>
      <c r="C43" s="116">
        <f>'0-1'!F51</f>
        <v>0</v>
      </c>
      <c r="D43" t="str">
        <f t="shared" si="1"/>
        <v>0-1</v>
      </c>
    </row>
    <row r="44" spans="1:4" ht="15" customHeight="1" x14ac:dyDescent="0.35">
      <c r="A44" s="116" t="str">
        <f>'0-1'!A52</f>
        <v>Cognitive</v>
      </c>
      <c r="B44" s="116">
        <f>'0-1'!G52</f>
        <v>8</v>
      </c>
      <c r="C44" s="116">
        <f>'0-1'!F52</f>
        <v>0</v>
      </c>
      <c r="D44" t="str">
        <f t="shared" si="1"/>
        <v>0-1</v>
      </c>
    </row>
    <row r="45" spans="1:4" ht="15" customHeight="1" x14ac:dyDescent="0.35">
      <c r="A45" s="116" t="str">
        <f>'0-1'!A53</f>
        <v>Cognitive</v>
      </c>
      <c r="B45" s="116">
        <f>'0-1'!G53</f>
        <v>9</v>
      </c>
      <c r="C45" s="116">
        <f>'0-1'!F53</f>
        <v>0</v>
      </c>
      <c r="D45" t="str">
        <f t="shared" si="1"/>
        <v>0-1</v>
      </c>
    </row>
    <row r="46" spans="1:4" ht="15" customHeight="1" x14ac:dyDescent="0.35">
      <c r="A46" s="116" t="str">
        <f>'0-1'!A54</f>
        <v>Cognitive</v>
      </c>
      <c r="B46" s="116">
        <f>'0-1'!G54</f>
        <v>10.5</v>
      </c>
      <c r="C46" s="116">
        <f>'0-1'!F54</f>
        <v>0</v>
      </c>
      <c r="D46" t="str">
        <f t="shared" si="1"/>
        <v>0-1</v>
      </c>
    </row>
    <row r="47" spans="1:4" ht="15" customHeight="1" x14ac:dyDescent="0.35">
      <c r="A47" s="116" t="str">
        <f>'0-1'!A55</f>
        <v>EMOTIONAL DEVELOPMENT</v>
      </c>
      <c r="B47" s="116">
        <f>'0-1'!G55</f>
        <v>0</v>
      </c>
      <c r="C47" s="116">
        <f>'0-1'!F55</f>
        <v>0</v>
      </c>
      <c r="D47" t="str">
        <f t="shared" si="1"/>
        <v>0-1</v>
      </c>
    </row>
    <row r="48" spans="1:4" ht="15" customHeight="1" x14ac:dyDescent="0.35">
      <c r="A48" s="116" t="str">
        <f>'0-1'!A56</f>
        <v>Emotional</v>
      </c>
      <c r="B48" s="116">
        <f>'0-1'!G56</f>
        <v>1.5</v>
      </c>
      <c r="C48" s="116">
        <f>'0-1'!F56</f>
        <v>0</v>
      </c>
      <c r="D48" t="str">
        <f t="shared" si="1"/>
        <v>0-1</v>
      </c>
    </row>
    <row r="49" spans="1:4" ht="15" customHeight="1" x14ac:dyDescent="0.35">
      <c r="A49" s="116" t="str">
        <f>'0-1'!A57</f>
        <v>Emotional</v>
      </c>
      <c r="B49" s="116">
        <f>'0-1'!G57</f>
        <v>2.5</v>
      </c>
      <c r="C49" s="116">
        <f>'0-1'!F57</f>
        <v>0</v>
      </c>
      <c r="D49" t="str">
        <f t="shared" si="1"/>
        <v>0-1</v>
      </c>
    </row>
    <row r="50" spans="1:4" ht="15" customHeight="1" x14ac:dyDescent="0.35">
      <c r="A50" s="116" t="str">
        <f>'0-1'!A58</f>
        <v>Emotional</v>
      </c>
      <c r="B50" s="116">
        <f>'0-1'!G58</f>
        <v>3.5</v>
      </c>
      <c r="C50" s="116">
        <f>'0-1'!F58</f>
        <v>0</v>
      </c>
      <c r="D50" t="str">
        <f t="shared" si="1"/>
        <v>0-1</v>
      </c>
    </row>
    <row r="51" spans="1:4" ht="15" customHeight="1" x14ac:dyDescent="0.35">
      <c r="A51" s="116" t="str">
        <f>'0-1'!A59</f>
        <v>Emotional</v>
      </c>
      <c r="B51" s="116">
        <f>'0-1'!G59</f>
        <v>7</v>
      </c>
      <c r="C51" s="116">
        <f>'0-1'!F59</f>
        <v>0</v>
      </c>
      <c r="D51" t="str">
        <f t="shared" si="1"/>
        <v>0-1</v>
      </c>
    </row>
    <row r="52" spans="1:4" ht="15" customHeight="1" x14ac:dyDescent="0.35">
      <c r="A52" s="116" t="str">
        <f>'0-1'!A60</f>
        <v>Emotional</v>
      </c>
      <c r="B52" s="116">
        <f>'0-1'!G60</f>
        <v>7.5</v>
      </c>
      <c r="C52" s="116">
        <f>'0-1'!F60</f>
        <v>0</v>
      </c>
      <c r="D52" t="str">
        <f t="shared" si="1"/>
        <v>0-1</v>
      </c>
    </row>
    <row r="53" spans="1:4" ht="15" customHeight="1" x14ac:dyDescent="0.35">
      <c r="A53" s="116" t="str">
        <f>'0-1'!A61</f>
        <v>Emotional</v>
      </c>
      <c r="B53" s="116">
        <f>'0-1'!G61</f>
        <v>10</v>
      </c>
      <c r="C53" s="116">
        <f>'0-1'!F61</f>
        <v>0</v>
      </c>
      <c r="D53" t="str">
        <f t="shared" si="1"/>
        <v>0-1</v>
      </c>
    </row>
    <row r="54" spans="1:4" ht="15" customHeight="1" x14ac:dyDescent="0.35">
      <c r="A54" s="116" t="str">
        <f>'0-1'!A62</f>
        <v>SOCIAL DEVELOPMENT</v>
      </c>
      <c r="B54" s="116">
        <f>'0-1'!G62</f>
        <v>0</v>
      </c>
      <c r="C54" s="116">
        <f>'0-1'!F62</f>
        <v>0</v>
      </c>
      <c r="D54" t="str">
        <f t="shared" si="1"/>
        <v>0-1</v>
      </c>
    </row>
    <row r="55" spans="1:4" ht="15" customHeight="1" x14ac:dyDescent="0.35">
      <c r="A55" s="116" t="str">
        <f>'0-1'!A63</f>
        <v>Social</v>
      </c>
      <c r="B55" s="116">
        <f>'0-1'!G63</f>
        <v>1.5</v>
      </c>
      <c r="C55" s="116">
        <f>'0-1'!F63</f>
        <v>0</v>
      </c>
      <c r="D55" t="str">
        <f t="shared" si="1"/>
        <v>0-1</v>
      </c>
    </row>
    <row r="56" spans="1:4" ht="15" customHeight="1" x14ac:dyDescent="0.35">
      <c r="A56" s="116" t="str">
        <f>'0-1'!A64</f>
        <v>Social</v>
      </c>
      <c r="B56" s="116">
        <f>'0-1'!G64</f>
        <v>2.5</v>
      </c>
      <c r="C56" s="116">
        <f>'0-1'!F64</f>
        <v>0</v>
      </c>
      <c r="D56" t="str">
        <f t="shared" si="1"/>
        <v>0-1</v>
      </c>
    </row>
    <row r="57" spans="1:4" ht="15" customHeight="1" x14ac:dyDescent="0.35">
      <c r="A57" s="116" t="str">
        <f>'0-1'!A65</f>
        <v>Social</v>
      </c>
      <c r="B57" s="116">
        <f>'0-1'!G65</f>
        <v>5</v>
      </c>
      <c r="C57" s="116">
        <f>'0-1'!F65</f>
        <v>0</v>
      </c>
      <c r="D57" t="str">
        <f t="shared" si="1"/>
        <v>0-1</v>
      </c>
    </row>
    <row r="58" spans="1:4" ht="15" customHeight="1" x14ac:dyDescent="0.35">
      <c r="A58" s="116" t="str">
        <f>'0-1'!A66</f>
        <v>Social</v>
      </c>
      <c r="B58" s="116">
        <f>'0-1'!G66</f>
        <v>8</v>
      </c>
      <c r="C58" s="116">
        <f>'0-1'!F66</f>
        <v>0</v>
      </c>
      <c r="D58" t="str">
        <f t="shared" si="1"/>
        <v>0-1</v>
      </c>
    </row>
    <row r="59" spans="1:4" ht="15" customHeight="1" x14ac:dyDescent="0.35">
      <c r="A59" s="116" t="str">
        <f>'0-1'!A67</f>
        <v>Social</v>
      </c>
      <c r="B59" s="116">
        <f>'0-1'!G67</f>
        <v>10.5</v>
      </c>
      <c r="C59" s="116">
        <f>'0-1'!F67</f>
        <v>0</v>
      </c>
      <c r="D59" t="str">
        <f t="shared" si="1"/>
        <v>0-1</v>
      </c>
    </row>
    <row r="60" spans="1:4" ht="15" customHeight="1" x14ac:dyDescent="0.35">
      <c r="A60" s="117"/>
      <c r="B60" s="117"/>
      <c r="C60" s="117"/>
      <c r="D60" s="20"/>
    </row>
    <row r="61" spans="1:4" ht="15" customHeight="1" x14ac:dyDescent="0.35"/>
    <row r="62" spans="1:4" ht="15" customHeight="1" x14ac:dyDescent="0.35"/>
    <row r="63" spans="1:4" ht="15" customHeight="1" x14ac:dyDescent="0.35"/>
    <row r="64" spans="1:4" ht="15" customHeight="1" x14ac:dyDescent="0.35"/>
    <row r="65" ht="15" customHeight="1" x14ac:dyDescent="0.35"/>
    <row r="66" ht="15" customHeight="1" x14ac:dyDescent="0.35"/>
    <row r="67" ht="15" customHeight="1" x14ac:dyDescent="0.35"/>
    <row r="68" ht="15" customHeight="1" x14ac:dyDescent="0.35"/>
    <row r="69" ht="15" customHeight="1" x14ac:dyDescent="0.35"/>
    <row r="70" ht="15" customHeight="1" x14ac:dyDescent="0.35"/>
    <row r="71" ht="15" customHeight="1" x14ac:dyDescent="0.35"/>
    <row r="72" ht="15" customHeight="1" x14ac:dyDescent="0.35"/>
    <row r="73" ht="15" customHeight="1" x14ac:dyDescent="0.35"/>
    <row r="74" ht="15" customHeight="1" x14ac:dyDescent="0.35"/>
    <row r="75" ht="15" customHeight="1" x14ac:dyDescent="0.35"/>
    <row r="76" ht="15" customHeight="1" x14ac:dyDescent="0.35"/>
    <row r="77" ht="15" customHeight="1" x14ac:dyDescent="0.35"/>
    <row r="78" ht="15" customHeight="1" x14ac:dyDescent="0.35"/>
    <row r="79" ht="15" customHeight="1" x14ac:dyDescent="0.35"/>
    <row r="80" ht="15" customHeight="1" x14ac:dyDescent="0.35"/>
    <row r="81" ht="15" customHeight="1" x14ac:dyDescent="0.35"/>
    <row r="82" ht="15" customHeight="1" x14ac:dyDescent="0.35"/>
    <row r="83" ht="15" customHeight="1" x14ac:dyDescent="0.35"/>
    <row r="84" ht="15" customHeight="1" x14ac:dyDescent="0.35"/>
    <row r="85" ht="15" customHeight="1" x14ac:dyDescent="0.35"/>
    <row r="86" ht="15" customHeight="1" x14ac:dyDescent="0.35"/>
    <row r="87" ht="15" customHeight="1" x14ac:dyDescent="0.35"/>
    <row r="88" ht="15" customHeight="1" x14ac:dyDescent="0.35"/>
    <row r="89" ht="15" customHeight="1" x14ac:dyDescent="0.35"/>
    <row r="90" ht="15" customHeight="1" x14ac:dyDescent="0.35"/>
    <row r="91" ht="15" customHeight="1" x14ac:dyDescent="0.35"/>
    <row r="92" ht="15" customHeight="1" x14ac:dyDescent="0.35"/>
    <row r="93" ht="15" customHeight="1" x14ac:dyDescent="0.35"/>
    <row r="94" ht="15" customHeight="1" x14ac:dyDescent="0.35"/>
    <row r="95" ht="15" customHeight="1" x14ac:dyDescent="0.35"/>
    <row r="96" ht="15" customHeight="1" x14ac:dyDescent="0.35"/>
    <row r="97" ht="15" customHeight="1" x14ac:dyDescent="0.35"/>
    <row r="98" ht="15" customHeight="1" x14ac:dyDescent="0.35"/>
    <row r="99" ht="15" customHeight="1" x14ac:dyDescent="0.35"/>
    <row r="100" ht="15" customHeight="1" x14ac:dyDescent="0.35"/>
    <row r="101" ht="15" customHeight="1" x14ac:dyDescent="0.35"/>
    <row r="102" ht="15" customHeight="1" x14ac:dyDescent="0.35"/>
    <row r="103" ht="15" customHeight="1" x14ac:dyDescent="0.35"/>
    <row r="104" ht="15" customHeight="1" x14ac:dyDescent="0.35"/>
    <row r="105" ht="15" customHeight="1" x14ac:dyDescent="0.35"/>
    <row r="106" ht="15" customHeight="1" x14ac:dyDescent="0.35"/>
    <row r="107" ht="15" customHeight="1" x14ac:dyDescent="0.35"/>
    <row r="108" ht="15" customHeight="1" x14ac:dyDescent="0.35"/>
    <row r="109" ht="15" customHeight="1" x14ac:dyDescent="0.35"/>
    <row r="110" ht="15" customHeight="1" x14ac:dyDescent="0.35"/>
    <row r="111" ht="15" customHeight="1" x14ac:dyDescent="0.35"/>
    <row r="112" ht="15" customHeight="1" x14ac:dyDescent="0.35"/>
    <row r="113" ht="15" customHeight="1" x14ac:dyDescent="0.35"/>
    <row r="114" ht="15" customHeight="1" x14ac:dyDescent="0.35"/>
    <row r="115" ht="15" customHeight="1" x14ac:dyDescent="0.35"/>
    <row r="116" ht="15" customHeight="1" x14ac:dyDescent="0.35"/>
    <row r="117" ht="15" customHeight="1" x14ac:dyDescent="0.35"/>
    <row r="118" ht="15" customHeight="1" x14ac:dyDescent="0.35"/>
    <row r="119" ht="15" customHeight="1" x14ac:dyDescent="0.35"/>
    <row r="120" ht="15" customHeight="1" x14ac:dyDescent="0.35"/>
    <row r="121" ht="15" customHeight="1" x14ac:dyDescent="0.35"/>
    <row r="122" ht="15" customHeight="1" x14ac:dyDescent="0.35"/>
    <row r="123" ht="15" customHeight="1" x14ac:dyDescent="0.35"/>
    <row r="124" ht="15" customHeight="1" x14ac:dyDescent="0.35"/>
    <row r="125" ht="15" customHeight="1" x14ac:dyDescent="0.35"/>
    <row r="126" ht="15" customHeight="1" x14ac:dyDescent="0.35"/>
    <row r="127" ht="15" customHeight="1" x14ac:dyDescent="0.35"/>
    <row r="128" ht="15" customHeight="1" x14ac:dyDescent="0.35"/>
    <row r="129" ht="15" customHeight="1" x14ac:dyDescent="0.35"/>
    <row r="130" ht="15" customHeight="1" x14ac:dyDescent="0.35"/>
    <row r="131" ht="15" customHeight="1" x14ac:dyDescent="0.35"/>
    <row r="132" ht="15" customHeight="1" x14ac:dyDescent="0.35"/>
    <row r="133" ht="15" customHeight="1" x14ac:dyDescent="0.35"/>
    <row r="134" ht="15" customHeight="1" x14ac:dyDescent="0.35"/>
    <row r="135" ht="15" customHeight="1" x14ac:dyDescent="0.35"/>
    <row r="136" ht="15" customHeight="1" x14ac:dyDescent="0.35"/>
    <row r="137" ht="15" customHeight="1" x14ac:dyDescent="0.35"/>
    <row r="138" ht="15" customHeight="1" x14ac:dyDescent="0.35"/>
    <row r="139" ht="15" customHeight="1" x14ac:dyDescent="0.35"/>
    <row r="140" ht="15" customHeight="1" x14ac:dyDescent="0.35"/>
    <row r="141" ht="15" customHeight="1" x14ac:dyDescent="0.35"/>
    <row r="142" ht="15" customHeight="1" x14ac:dyDescent="0.35"/>
    <row r="143" ht="15" customHeight="1" x14ac:dyDescent="0.35"/>
    <row r="144" ht="15" customHeight="1" x14ac:dyDescent="0.35"/>
    <row r="145" ht="15" customHeight="1" x14ac:dyDescent="0.35"/>
    <row r="146" ht="15" customHeight="1" x14ac:dyDescent="0.35"/>
    <row r="147" ht="15" customHeight="1" x14ac:dyDescent="0.35"/>
    <row r="148" ht="15" customHeight="1" x14ac:dyDescent="0.35"/>
    <row r="149" ht="15" customHeight="1" x14ac:dyDescent="0.35"/>
    <row r="150" ht="15" customHeight="1" x14ac:dyDescent="0.35"/>
    <row r="151" ht="15" customHeight="1" x14ac:dyDescent="0.35"/>
    <row r="152" ht="15" customHeight="1" x14ac:dyDescent="0.35"/>
    <row r="153" ht="15" customHeight="1" x14ac:dyDescent="0.35"/>
    <row r="154" ht="15" customHeight="1" x14ac:dyDescent="0.35"/>
    <row r="155" ht="15" customHeight="1" x14ac:dyDescent="0.35"/>
    <row r="156" ht="15" customHeight="1" x14ac:dyDescent="0.35"/>
    <row r="157" ht="15" customHeight="1" x14ac:dyDescent="0.35"/>
    <row r="158" ht="15" customHeight="1" x14ac:dyDescent="0.35"/>
    <row r="159" ht="15" customHeight="1" x14ac:dyDescent="0.35"/>
    <row r="160" ht="15" customHeight="1" x14ac:dyDescent="0.35"/>
    <row r="161" ht="15" customHeight="1" x14ac:dyDescent="0.35"/>
    <row r="162" ht="15" customHeight="1" x14ac:dyDescent="0.35"/>
    <row r="163" ht="15" customHeight="1" x14ac:dyDescent="0.35"/>
    <row r="164" ht="15" customHeight="1" x14ac:dyDescent="0.35"/>
    <row r="165" ht="15" customHeight="1" x14ac:dyDescent="0.35"/>
    <row r="166" ht="15" customHeight="1" x14ac:dyDescent="0.35"/>
    <row r="167" ht="15" customHeight="1" x14ac:dyDescent="0.35"/>
    <row r="168" ht="15" customHeight="1" x14ac:dyDescent="0.35"/>
    <row r="169" ht="15" customHeight="1" x14ac:dyDescent="0.35"/>
    <row r="170" ht="15" customHeight="1" x14ac:dyDescent="0.35"/>
    <row r="171" ht="15" customHeight="1" x14ac:dyDescent="0.35"/>
    <row r="172" ht="15" customHeight="1" x14ac:dyDescent="0.35"/>
    <row r="173" ht="15" customHeight="1" x14ac:dyDescent="0.35"/>
    <row r="174" ht="15" customHeight="1" x14ac:dyDescent="0.35"/>
    <row r="175" ht="15" customHeight="1" x14ac:dyDescent="0.35"/>
    <row r="176" ht="15" customHeight="1" x14ac:dyDescent="0.35"/>
    <row r="177" ht="15" customHeight="1" x14ac:dyDescent="0.35"/>
    <row r="178" ht="15" customHeight="1" x14ac:dyDescent="0.35"/>
    <row r="179" ht="15" customHeight="1" x14ac:dyDescent="0.35"/>
    <row r="180" ht="15" customHeight="1" x14ac:dyDescent="0.35"/>
    <row r="181" ht="15" customHeight="1" x14ac:dyDescent="0.35"/>
    <row r="182" ht="15" customHeight="1" x14ac:dyDescent="0.35"/>
    <row r="183" ht="15" customHeight="1" x14ac:dyDescent="0.35"/>
    <row r="184" ht="15" customHeight="1" x14ac:dyDescent="0.35"/>
    <row r="185" ht="15" customHeight="1" x14ac:dyDescent="0.35"/>
    <row r="186" ht="15" customHeight="1" x14ac:dyDescent="0.35"/>
    <row r="187" ht="15" customHeight="1" x14ac:dyDescent="0.35"/>
    <row r="188" ht="15" customHeight="1" x14ac:dyDescent="0.35"/>
    <row r="189" ht="15" customHeight="1" x14ac:dyDescent="0.35"/>
    <row r="190" ht="15" customHeight="1" x14ac:dyDescent="0.35"/>
    <row r="191" ht="15" customHeight="1" x14ac:dyDescent="0.35"/>
    <row r="192" ht="15" customHeight="1" x14ac:dyDescent="0.35"/>
    <row r="193" ht="15" customHeight="1" x14ac:dyDescent="0.35"/>
    <row r="194" ht="15" customHeight="1" x14ac:dyDescent="0.35"/>
    <row r="195" ht="15" customHeight="1" x14ac:dyDescent="0.35"/>
    <row r="196" ht="15" customHeight="1" x14ac:dyDescent="0.35"/>
    <row r="197" ht="15" customHeight="1" x14ac:dyDescent="0.35"/>
    <row r="198" ht="15" customHeight="1" x14ac:dyDescent="0.35"/>
    <row r="199" ht="15" customHeight="1" x14ac:dyDescent="0.35"/>
    <row r="200" ht="15" customHeight="1" x14ac:dyDescent="0.35"/>
    <row r="201" ht="15" customHeight="1" x14ac:dyDescent="0.35"/>
    <row r="202" ht="15" customHeight="1" x14ac:dyDescent="0.35"/>
    <row r="203" ht="15" customHeight="1" x14ac:dyDescent="0.35"/>
    <row r="204" ht="15" customHeight="1" x14ac:dyDescent="0.35"/>
    <row r="205" ht="15" customHeight="1" x14ac:dyDescent="0.35"/>
    <row r="206" ht="15" customHeight="1" x14ac:dyDescent="0.35"/>
    <row r="207" ht="15" customHeight="1" x14ac:dyDescent="0.35"/>
    <row r="208" ht="15" customHeight="1" x14ac:dyDescent="0.35"/>
    <row r="209" ht="15" customHeight="1" x14ac:dyDescent="0.35"/>
    <row r="210" ht="15" customHeight="1" x14ac:dyDescent="0.35"/>
    <row r="211" ht="15" customHeight="1" x14ac:dyDescent="0.35"/>
    <row r="212" ht="15" customHeight="1" x14ac:dyDescent="0.35"/>
    <row r="213" ht="15" customHeight="1" x14ac:dyDescent="0.35"/>
    <row r="214" ht="15" customHeight="1" x14ac:dyDescent="0.35"/>
    <row r="215" ht="15" customHeight="1" x14ac:dyDescent="0.35"/>
    <row r="216" ht="15" customHeight="1" x14ac:dyDescent="0.35"/>
    <row r="217" ht="15" customHeight="1" x14ac:dyDescent="0.35"/>
    <row r="218" ht="15" customHeight="1" x14ac:dyDescent="0.35"/>
    <row r="219" ht="15" customHeight="1" x14ac:dyDescent="0.35"/>
    <row r="220" ht="15" customHeight="1" x14ac:dyDescent="0.35"/>
    <row r="221" ht="15" customHeight="1" x14ac:dyDescent="0.35"/>
    <row r="222" ht="15" customHeight="1" x14ac:dyDescent="0.35"/>
    <row r="223" ht="15" customHeight="1" x14ac:dyDescent="0.35"/>
    <row r="224" ht="15" customHeight="1" x14ac:dyDescent="0.35"/>
    <row r="225" ht="15" customHeight="1" x14ac:dyDescent="0.35"/>
    <row r="226" ht="15" customHeight="1" x14ac:dyDescent="0.35"/>
    <row r="227" ht="15" customHeight="1" x14ac:dyDescent="0.35"/>
    <row r="228" ht="15" customHeight="1" x14ac:dyDescent="0.35"/>
    <row r="229" ht="15" customHeight="1" x14ac:dyDescent="0.35"/>
    <row r="230" ht="15" customHeight="1" x14ac:dyDescent="0.35"/>
    <row r="231" ht="15" customHeight="1" x14ac:dyDescent="0.35"/>
    <row r="232" ht="15" customHeight="1" x14ac:dyDescent="0.35"/>
    <row r="233" ht="15" customHeight="1" x14ac:dyDescent="0.35"/>
    <row r="234" ht="15" customHeight="1" x14ac:dyDescent="0.35"/>
    <row r="235" ht="15" customHeight="1" x14ac:dyDescent="0.35"/>
    <row r="236" ht="15" customHeight="1" x14ac:dyDescent="0.35"/>
    <row r="237" ht="15" customHeight="1" x14ac:dyDescent="0.35"/>
    <row r="238" ht="15" customHeight="1" x14ac:dyDescent="0.35"/>
    <row r="239" ht="15" customHeight="1" x14ac:dyDescent="0.35"/>
    <row r="240" ht="15" customHeight="1" x14ac:dyDescent="0.35"/>
    <row r="241" ht="15" customHeight="1" x14ac:dyDescent="0.35"/>
    <row r="242" ht="15" customHeight="1" x14ac:dyDescent="0.35"/>
    <row r="243" ht="15" customHeight="1" x14ac:dyDescent="0.35"/>
    <row r="244" ht="15" customHeight="1" x14ac:dyDescent="0.35"/>
    <row r="245" ht="15" customHeight="1" x14ac:dyDescent="0.35"/>
    <row r="246" ht="15" customHeight="1" x14ac:dyDescent="0.35"/>
    <row r="247" ht="15" customHeight="1" x14ac:dyDescent="0.35"/>
    <row r="248" ht="15" customHeight="1" x14ac:dyDescent="0.35"/>
    <row r="249" ht="15" customHeight="1" x14ac:dyDescent="0.35"/>
    <row r="250" ht="15" customHeight="1" x14ac:dyDescent="0.35"/>
    <row r="251" ht="15" customHeight="1" x14ac:dyDescent="0.35"/>
    <row r="252" ht="15" customHeight="1" x14ac:dyDescent="0.35"/>
    <row r="253" ht="15" customHeight="1" x14ac:dyDescent="0.35"/>
    <row r="254" ht="15" customHeight="1" x14ac:dyDescent="0.35"/>
    <row r="255" ht="15" customHeight="1" x14ac:dyDescent="0.35"/>
    <row r="256" ht="15" customHeight="1" x14ac:dyDescent="0.35"/>
    <row r="257" ht="15" customHeight="1" x14ac:dyDescent="0.35"/>
    <row r="258" ht="15" customHeight="1" x14ac:dyDescent="0.35"/>
    <row r="259" ht="15" customHeight="1" x14ac:dyDescent="0.35"/>
    <row r="260" ht="15" customHeight="1" x14ac:dyDescent="0.35"/>
    <row r="261" ht="15" customHeight="1" x14ac:dyDescent="0.35"/>
    <row r="262" ht="15" customHeight="1" x14ac:dyDescent="0.35"/>
    <row r="263" ht="15" customHeight="1" x14ac:dyDescent="0.35"/>
    <row r="264" ht="15" customHeight="1" x14ac:dyDescent="0.35"/>
    <row r="265" ht="15" customHeight="1" x14ac:dyDescent="0.35"/>
    <row r="266" ht="15" customHeight="1" x14ac:dyDescent="0.35"/>
    <row r="267" ht="15" customHeight="1" x14ac:dyDescent="0.35"/>
    <row r="268" ht="15" customHeight="1" x14ac:dyDescent="0.35"/>
    <row r="269" ht="15" customHeight="1" x14ac:dyDescent="0.35"/>
    <row r="270" ht="15" customHeight="1" x14ac:dyDescent="0.35"/>
    <row r="271" ht="15" customHeight="1" x14ac:dyDescent="0.35"/>
    <row r="272" ht="15" customHeight="1" x14ac:dyDescent="0.35"/>
    <row r="273" ht="15" customHeight="1" x14ac:dyDescent="0.35"/>
    <row r="274" ht="15" customHeight="1" x14ac:dyDescent="0.35"/>
    <row r="275" ht="15" customHeight="1" x14ac:dyDescent="0.35"/>
    <row r="276" ht="15" customHeight="1" x14ac:dyDescent="0.35"/>
    <row r="277" ht="15" customHeight="1" x14ac:dyDescent="0.35"/>
    <row r="278" ht="15" customHeight="1" x14ac:dyDescent="0.35"/>
    <row r="279" ht="15" customHeight="1" x14ac:dyDescent="0.35"/>
    <row r="280" ht="15" customHeight="1" x14ac:dyDescent="0.35"/>
    <row r="281" ht="15" customHeight="1" x14ac:dyDescent="0.35"/>
    <row r="282" ht="15" customHeight="1" x14ac:dyDescent="0.35"/>
    <row r="283" ht="15" customHeight="1" x14ac:dyDescent="0.35"/>
    <row r="284" ht="15" customHeight="1" x14ac:dyDescent="0.35"/>
    <row r="285" ht="15" customHeight="1" x14ac:dyDescent="0.35"/>
    <row r="286" ht="15" customHeight="1" x14ac:dyDescent="0.35"/>
    <row r="287" ht="15" customHeight="1" x14ac:dyDescent="0.35"/>
    <row r="288" ht="15" customHeight="1" x14ac:dyDescent="0.35"/>
    <row r="289" ht="15" customHeight="1" x14ac:dyDescent="0.35"/>
    <row r="290" ht="15" customHeight="1" x14ac:dyDescent="0.35"/>
    <row r="291" ht="15" customHeight="1" x14ac:dyDescent="0.35"/>
    <row r="292" ht="15" customHeight="1" x14ac:dyDescent="0.35"/>
    <row r="293" ht="15" customHeight="1" x14ac:dyDescent="0.35"/>
    <row r="294" ht="15" customHeight="1" x14ac:dyDescent="0.35"/>
    <row r="295" ht="15" customHeight="1" x14ac:dyDescent="0.35"/>
    <row r="296" ht="15" customHeight="1" x14ac:dyDescent="0.35"/>
    <row r="297" ht="15" customHeight="1" x14ac:dyDescent="0.35"/>
    <row r="298" ht="15" customHeight="1" x14ac:dyDescent="0.35"/>
    <row r="299" ht="15" customHeight="1" x14ac:dyDescent="0.35"/>
    <row r="300" ht="15" customHeight="1" x14ac:dyDescent="0.35"/>
    <row r="301" ht="15" customHeight="1" x14ac:dyDescent="0.35"/>
    <row r="302" ht="15" customHeight="1" x14ac:dyDescent="0.35"/>
    <row r="303" ht="15" customHeight="1" x14ac:dyDescent="0.35"/>
    <row r="304" ht="15" customHeight="1" x14ac:dyDescent="0.35"/>
    <row r="305" ht="15" customHeight="1" x14ac:dyDescent="0.35"/>
    <row r="306" ht="15" customHeight="1" x14ac:dyDescent="0.35"/>
    <row r="307" ht="15" customHeight="1" x14ac:dyDescent="0.35"/>
    <row r="308" ht="15" customHeight="1" x14ac:dyDescent="0.35"/>
    <row r="309" ht="15" customHeight="1" x14ac:dyDescent="0.35"/>
    <row r="310" ht="15" customHeight="1" x14ac:dyDescent="0.35"/>
    <row r="311" ht="15" customHeight="1" x14ac:dyDescent="0.35"/>
    <row r="312" ht="15" customHeight="1" x14ac:dyDescent="0.35"/>
    <row r="313" ht="15" customHeight="1" x14ac:dyDescent="0.35"/>
    <row r="314" ht="15" customHeight="1" x14ac:dyDescent="0.35"/>
    <row r="315" ht="15" customHeight="1" x14ac:dyDescent="0.35"/>
    <row r="316" ht="15" customHeight="1" x14ac:dyDescent="0.35"/>
    <row r="317" ht="15" customHeight="1" x14ac:dyDescent="0.35"/>
    <row r="318" ht="15" customHeight="1" x14ac:dyDescent="0.35"/>
    <row r="319" ht="15" customHeight="1" x14ac:dyDescent="0.35"/>
    <row r="320" ht="15" customHeight="1" x14ac:dyDescent="0.35"/>
    <row r="321" ht="15" customHeight="1" x14ac:dyDescent="0.35"/>
    <row r="322" ht="15" customHeight="1" x14ac:dyDescent="0.35"/>
    <row r="323" ht="15" customHeight="1" x14ac:dyDescent="0.35"/>
    <row r="324" ht="15" customHeight="1" x14ac:dyDescent="0.35"/>
    <row r="325" ht="15" customHeight="1" x14ac:dyDescent="0.35"/>
    <row r="326" ht="15" customHeight="1" x14ac:dyDescent="0.35"/>
    <row r="327" ht="15" customHeight="1" x14ac:dyDescent="0.35"/>
    <row r="328" ht="15" customHeight="1" x14ac:dyDescent="0.35"/>
    <row r="329" ht="15" customHeight="1" x14ac:dyDescent="0.35"/>
  </sheetData>
  <sheetProtection algorithmName="SHA-512" hashValue="rRnaGQ/tNNJ3rIYfLVfmeaGL00c7I+vyM2bl+pVyQqm4K8qR14qob1NAge1kctyoChSVC61X8wstwoE7oBipNQ==" saltValue="x4br3t5NNuws1cihRGQl6w==" spinCount="100000" sheet="1" objects="1" scenarios="1" selectLockedCells="1" selectUnlockedCells="1"/>
  <pageMargins left="0.75" right="0.75" top="1" bottom="1" header="0.511811023622047" footer="0.51180555555555596"/>
  <pageSetup paperSize="9" orientation="portrait" horizontalDpi="300" verticalDpi="300"/>
  <headerFooter>
    <oddFooter>&amp;C&amp;8 &amp;K888888© 2025 Rabiga Sagyndykova · LOLA System · Resale and redistribution prohibited&amp;R&amp;8 Стр. &amp;P из 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>
    <tabColor rgb="FFFF0000"/>
  </sheetPr>
  <dimension ref="A1:N47"/>
  <sheetViews>
    <sheetView topLeftCell="A7" zoomScaleNormal="100" workbookViewId="0">
      <selection activeCell="B47" sqref="B47"/>
    </sheetView>
  </sheetViews>
  <sheetFormatPr defaultColWidth="8.7265625" defaultRowHeight="14.5" x14ac:dyDescent="0.35"/>
  <cols>
    <col min="1" max="1" width="14.54296875" style="1" customWidth="1"/>
    <col min="2" max="2" width="9" style="1" customWidth="1"/>
    <col min="3" max="3" width="9.453125" style="1" customWidth="1"/>
    <col min="4" max="4" width="10.453125" style="1" customWidth="1"/>
    <col min="5" max="5" width="7.54296875" style="1" customWidth="1"/>
    <col min="6" max="6" width="6.81640625" style="1" customWidth="1"/>
    <col min="7" max="7" width="5.7265625" style="1" customWidth="1"/>
    <col min="8" max="8" width="6.1796875" style="1" customWidth="1"/>
    <col min="9" max="9" width="6.54296875" style="1" customWidth="1"/>
    <col min="10" max="10" width="7.453125" style="1" customWidth="1"/>
    <col min="11" max="11" width="16.453125" style="1" customWidth="1"/>
    <col min="12" max="12" width="22.54296875" style="1" customWidth="1"/>
    <col min="13" max="13" width="30.453125" style="1" customWidth="1"/>
  </cols>
  <sheetData>
    <row r="1" spans="1:14" ht="33.75" customHeight="1" x14ac:dyDescent="0.35">
      <c r="A1" s="58" t="s">
        <v>59</v>
      </c>
      <c r="B1" s="58" t="s">
        <v>290</v>
      </c>
      <c r="C1" s="58" t="s">
        <v>291</v>
      </c>
      <c r="D1" s="58" t="s">
        <v>48</v>
      </c>
      <c r="E1" s="58" t="s">
        <v>292</v>
      </c>
      <c r="F1" s="58" t="s">
        <v>293</v>
      </c>
      <c r="G1" s="58" t="s">
        <v>294</v>
      </c>
      <c r="H1" s="58" t="s">
        <v>295</v>
      </c>
      <c r="I1" s="58" t="s">
        <v>296</v>
      </c>
      <c r="J1" s="58" t="s">
        <v>297</v>
      </c>
      <c r="K1" s="58" t="s">
        <v>246</v>
      </c>
      <c r="L1" s="58" t="s">
        <v>298</v>
      </c>
      <c r="M1" s="133" t="s">
        <v>222</v>
      </c>
      <c r="N1" t="s">
        <v>299</v>
      </c>
    </row>
    <row r="2" spans="1:14" ht="40.5" customHeight="1" x14ac:dyDescent="0.35">
      <c r="A2" s="113" t="s">
        <v>29</v>
      </c>
      <c r="B2" s="118" t="str">
        <f>IFERROR(AVERAGEIFS(BASE!B:B,BASE!A:A,A2,BASE!C:C,1),"")</f>
        <v/>
      </c>
      <c r="C2" s="120" t="str">
        <f t="shared" ref="C2:C8" si="0">IFERROR(B2/12,"")</f>
        <v/>
      </c>
      <c r="D2" s="120">
        <f>PASSPORT!B5</f>
        <v>0</v>
      </c>
      <c r="E2" s="120" t="str">
        <f>IF(B2="","", B2-D2)</f>
        <v/>
      </c>
      <c r="F2" s="124">
        <f>IFERROR(B2/D2,0)</f>
        <v>0</v>
      </c>
      <c r="G2" s="125">
        <f t="shared" ref="G2:G8" si="1">IF(OR(B2="",D2=0),0,B2/D2)</f>
        <v>0</v>
      </c>
      <c r="H2" s="126">
        <f t="shared" ref="H2:H8" si="2">0.9</f>
        <v>0.9</v>
      </c>
      <c r="I2" s="125">
        <f>VLOOKUP(A2,BASE!F:G,2,FALSE())</f>
        <v>0.2</v>
      </c>
      <c r="J2" s="126">
        <f t="shared" ref="J2:J8" si="3">F2*I2</f>
        <v>0</v>
      </c>
      <c r="K2" s="123" t="str">
        <f>IF(PASSPORT!B8="Normative",
IF(F2&gt;=0.9,"Age-appropriate",
IF(F2&gt;=0.75,"Mild delay",
IF(F2&gt;=0.5,"Moderate delay",
"Significant delay"))),
IF(F2&gt;=0.9,"Strong zone",
IF(F2&gt;=0.75,"Close to age",
IF(F2&gt;=0.5,"Development zone",
"Requires intensive support"))))</f>
        <v>Significant delay</v>
      </c>
      <c r="L2" s="128" t="str">
        <f>IF(PASSPORT!B8="Normative",
"Development corresponds to " &amp; TEXT(F2,"0%") &amp; " of the age norm.",
"Functional level is " &amp;B2 &amp; " months")</f>
        <v>Development corresponds to 0% of the age norm.</v>
      </c>
      <c r="M2" s="134" t="str">
        <f>IF(PASSPORT!B8="Normative", IF(F2&gt;=0.9,"The sphere """ &amp; A2 &amp; """ is developing within the age norm.", IF(F2&gt;=0.75,"A slight delay is noted in the sphere """ &amp; A2 &amp; """.", IF(F2&gt;=0.5,"The sphere """ &amp; A2 &amp; """ requires regular developmental work.", "The sphere """ &amp; A2 &amp; """ requires priority correctional support."))), IF(F2&gt;=0.9,"The sphere """ &amp; A2 &amp; """ is a strength.", IF(F2&gt;=0.75,"The sphere """ &amp; A2 &amp; """ is close to the age level.", IF(F2&gt;=0.5,"The sphere """ &amp; A2 &amp; """ is in the development zone.", "The sphere """ &amp; A2 &amp; """ requires additional support."))) ) &amp; " " &amp; IF(F2&gt;=0.9, "Continue to support development through play and daily activities.", IF(F2&gt;=0.75, VLOOKUP(A2,RECOMMENDATIONS!A:D,2,FALSE()), IF(F2&gt;=0.5, VLOOKUP(A2,RECOMMENDATIONS!A:D,3,FALSE()), VLOOKUP(A2,RECOMMENDATIONS!A:D,4,FALSE()) )))</f>
        <v>The sphere "Gross Motor" requires priority correctional support. Recommended: physiotherapy consultation</v>
      </c>
      <c r="N2">
        <v>0.9</v>
      </c>
    </row>
    <row r="3" spans="1:14" ht="37.5" customHeight="1" x14ac:dyDescent="0.35">
      <c r="A3" s="113" t="s">
        <v>30</v>
      </c>
      <c r="B3" s="118" t="str">
        <f>IFERROR(AVERAGEIFS(BASE!B:B,BASE!A:A,A3,BASE!C:C,1),"")</f>
        <v/>
      </c>
      <c r="C3" s="120" t="str">
        <f t="shared" si="0"/>
        <v/>
      </c>
      <c r="D3" s="120">
        <f>PASSPORT!B5</f>
        <v>0</v>
      </c>
      <c r="E3" s="120" t="str">
        <f>IF(B2="","",B2-D2)</f>
        <v/>
      </c>
      <c r="F3" s="124">
        <f>IFERROR(B3/D3,0)</f>
        <v>0</v>
      </c>
      <c r="G3" s="125">
        <f t="shared" si="1"/>
        <v>0</v>
      </c>
      <c r="H3" s="126">
        <f t="shared" si="2"/>
        <v>0.9</v>
      </c>
      <c r="I3" s="125">
        <f>VLOOKUP(A3,BASE!F:G,2,FALSE())</f>
        <v>0.15</v>
      </c>
      <c r="J3" s="126">
        <f t="shared" si="3"/>
        <v>0</v>
      </c>
      <c r="K3" s="123" t="str">
        <f>IF(PASSPORT!B8="Normative",
IF(F3&gt;=0.9,"Age-appropriate",
IF(F3&gt;=0.75,"Mild delay",
IF(F3&gt;=0.5,"Moderate delay",
"Significant delay"))),
IF(F3&gt;=0.9,"Strong zone",
IF(F3&gt;=0.75,"Close to age",
IF(F3&gt;=0.5,"Development zone",
"Requires intensive support"))))</f>
        <v>Significant delay</v>
      </c>
      <c r="L3" s="128" t="str">
        <f>IF(PASSPORT!B8="Normative",
"Development corresponds to " &amp; TEXT(F3,"0%") &amp; " of the age norm.",
"Functional level is " &amp;B3 &amp; " months")</f>
        <v>Development corresponds to 0% of the age norm.</v>
      </c>
      <c r="M3" s="134" t="str">
        <f>IF(PASSPORT!B8="Normative", IF(F3&gt;=0.9,"The sphere """ &amp; A3 &amp; """ is developing within the age norm.", IF(F3&gt;=0.75,"A slight delay is noted in the sphere """ &amp; A3 &amp; """.", IF(F3&gt;=0.5,"The sphere """ &amp; A3 &amp; """ requires regular developmental work.", "The sphere """ &amp; A3 &amp; """ requires priority correctional support."))), IF(F3&gt;=0.9,"The sphere """ &amp; A3 &amp; """ is a strength.", IF(F3&gt;=0.75,"The sphere """ &amp; A3 &amp; """ is close to the age level.", IF(F3&gt;=0.5,"The sphere """ &amp; A3 &amp; """ is in the development zone.", "The sphere """ &amp; A3 &amp; """ requires additional support."))) ) &amp; " " &amp; IF(F3&gt;=0.9, "Continue to support development through play and daily activities.", IF(F3&gt;=0.75, VLOOKUP(A3,RECOMMENDATIONS!A:D,2,FALSE()), IF(F3&gt;=0.5, VLOOKUP(A3,RECOMMENDATIONS!A:D,3,FALSE()), VLOOKUP(A3,RECOMMENDATIONS!A:D,4,FALSE()) )))</f>
        <v>The sphere "Fine Motor" requires priority correctional support. Recommended: daily exercises</v>
      </c>
      <c r="N3">
        <v>0.9</v>
      </c>
    </row>
    <row r="4" spans="1:14" ht="40.5" customHeight="1" x14ac:dyDescent="0.35">
      <c r="A4" s="113" t="s">
        <v>31</v>
      </c>
      <c r="B4" s="118" t="str">
        <f>IFERROR(AVERAGEIFS(BASE!B:B,BASE!A:A,A4,BASE!C:C,1),"")</f>
        <v/>
      </c>
      <c r="C4" s="120" t="str">
        <f t="shared" si="0"/>
        <v/>
      </c>
      <c r="D4" s="120">
        <f>PASSPORT!B5</f>
        <v>0</v>
      </c>
      <c r="E4" s="120" t="str">
        <f>IF(B4="","",B4-D4)</f>
        <v/>
      </c>
      <c r="F4" s="124">
        <f>IFERROR(B2/D4,0)</f>
        <v>0</v>
      </c>
      <c r="G4" s="125">
        <f t="shared" si="1"/>
        <v>0</v>
      </c>
      <c r="H4" s="126">
        <f t="shared" si="2"/>
        <v>0.9</v>
      </c>
      <c r="I4" s="125">
        <f>VLOOKUP(A4,BASE!F:G,2,FALSE())</f>
        <v>0.2</v>
      </c>
      <c r="J4" s="126">
        <f t="shared" si="3"/>
        <v>0</v>
      </c>
      <c r="K4" s="123" t="str">
        <f>IF(PASSPORT!B8="Normative",
IF(F4&gt;=0.9,"Age-appropriate",
IF(F4&gt;=0.75,"Mild delay",
IF(F4&gt;=0.5,"Moderate delay",
"Significant delay"))),
IF(F4&gt;=0.9,"Strong zone",
IF(F4&gt;=0.75,"Close to age",
IF(F4&gt;=0.5,"Development zone",
"Requires intensive support"))))</f>
        <v>Significant delay</v>
      </c>
      <c r="L4" s="128" t="str">
        <f>IF(PASSPORT!B8="Normative",
"Development corresponds to " &amp; TEXT(F4,"0%") &amp; " of the age norm.",
"Functional level is " &amp;B4 &amp; " months")</f>
        <v>Development corresponds to 0% of the age norm.</v>
      </c>
      <c r="M4" s="134" t="str">
        <f>IF(PASSPORT!B8="Normative", IF(F4&gt;=0.9,"The sphere """ &amp; A4 &amp; """ is developing within the age norm.", IF(F4&gt;=0.75,"A slight delay is noted in the sphere """ &amp; A4 &amp; """.", IF(F4&gt;=0.5,"The sphere """ &amp; A4 &amp; """ requires regular developmental work.", "The sphere """ &amp; A4 &amp; """ requires priority correctional support."))), IF(F4&gt;=0.9,"The sphere """ &amp; A4 &amp; """ is a strength.", IF(F4&gt;=0.75,"The sphere """ &amp; A4 &amp; """ is close to the age level.", IF(F4&gt;=0.5,"The sphere """ &amp; A4 &amp; """ is in the development zone.", "The sphere """ &amp; A4 &amp; """ requires additional support."))) ) &amp; " " &amp; IF(F4&gt;=0.9, "Continue to support development through play and daily activities.", IF(F4&gt;=0.75, VLOOKUP(A4,RECOMMENDATIONS!A:D,2,FALSE()), IF(F4&gt;=0.5, VLOOKUP(A4,RECOMMENDATIONS!A:D,3,FALSE()), VLOOKUP(A4,RECOMMENDATIONS!A:D,4,FALSE()) )))</f>
        <v>The sphere "Speech" requires priority correctional support. Recommended: speech therapy</v>
      </c>
      <c r="N4">
        <v>0.9</v>
      </c>
    </row>
    <row r="5" spans="1:14" ht="39" customHeight="1" x14ac:dyDescent="0.35">
      <c r="A5" s="113" t="s">
        <v>32</v>
      </c>
      <c r="B5" s="118" t="str">
        <f>IFERROR(AVERAGEIFS(BASE!B:B,BASE!A:A,A5,BASE!C:C,1),"")</f>
        <v/>
      </c>
      <c r="C5" s="120" t="str">
        <f t="shared" si="0"/>
        <v/>
      </c>
      <c r="D5" s="120">
        <f>PASSPORT!B5</f>
        <v>0</v>
      </c>
      <c r="E5" s="120" t="str">
        <f>IF(B5="","",B5-D5)</f>
        <v/>
      </c>
      <c r="F5" s="124">
        <f>IFERROR(B5/D5,0)</f>
        <v>0</v>
      </c>
      <c r="G5" s="125">
        <f t="shared" si="1"/>
        <v>0</v>
      </c>
      <c r="H5" s="126">
        <f t="shared" si="2"/>
        <v>0.9</v>
      </c>
      <c r="I5" s="125">
        <f>VLOOKUP(A5,BASE!F:G,2,FALSE())</f>
        <v>0.15</v>
      </c>
      <c r="J5" s="126">
        <f t="shared" si="3"/>
        <v>0</v>
      </c>
      <c r="K5" s="123" t="str">
        <f>IF(PASSPORT!B8="Normative",
IF(F5&gt;=0.9,"Age-appropriate",
IF(F5&gt;=0.75,"Mild delay",
IF(F5&gt;=0.5,"Moderate delay",
"Significant delay"))),
IF(F5&gt;=0.9,"Strong zone",
IF(F5&gt;=0.75,"Close to age",
IF(F5&gt;=0.5,"Development zone",
"Requires intensive support"))))</f>
        <v>Significant delay</v>
      </c>
      <c r="L5" s="128" t="str">
        <f>IF(PASSPORT!B8="Normative",
"Development corresponds to " &amp; TEXT(F5,"0%") &amp; " of the age norm.",
"Functional level is " &amp;B5 &amp; " months")</f>
        <v>Development corresponds to 0% of the age norm.</v>
      </c>
      <c r="M5" s="134" t="str">
        <f>IF(PASSPORT!B8="Normative", IF(F5&gt;=0.9,"The sphere """ &amp; A5 &amp; """ is developing within the age norm.", IF(F5&gt;=0.75,"A slight delay is noted in the sphere """ &amp; A5 &amp; """.", IF(F5&gt;=0.5,"The sphere """ &amp; A5 &amp; """ requires regular developmental work.", "The sphere """ &amp; A5 &amp; """ requires priority correctional support."))), IF(F5&gt;=0.9,"The sphere """ &amp; A5 &amp; """ is a strength.", IF(F5&gt;=0.75,"The sphere """ &amp; A5 &amp; """ is close to the age level.", IF(F5&gt;=0.5,"The sphere """ &amp; A5 &amp; """ is in the development zone.", "The sphere """ &amp; A5 &amp; """ requires additional support."))) ) &amp; " " &amp; IF(F5&gt;=0.9, "Continue to support development through play and daily activities.", IF(F5&gt;=0.75, VLOOKUP(A5,RECOMMENDATIONS!A:D,2,FALSE()), IF(F5&gt;=0.5, VLOOKUP(A5,RECOMMENDATIONS!A:D,3,FALSE()), VLOOKUP(A5,RECOMMENDATIONS!A:D,4,FALSE()) )))</f>
        <v>The sphere "Cognitive" requires priority correctional support. Recommended: structured sessions</v>
      </c>
      <c r="N5">
        <v>0.9</v>
      </c>
    </row>
    <row r="6" spans="1:14" ht="36.75" customHeight="1" x14ac:dyDescent="0.35">
      <c r="A6" s="113" t="s">
        <v>33</v>
      </c>
      <c r="B6" s="118" t="str">
        <f>IFERROR(AVERAGEIFS(BASE!B:B,BASE!A:A,A6,BASE!C:C,1),"")</f>
        <v/>
      </c>
      <c r="C6" s="120" t="str">
        <f t="shared" si="0"/>
        <v/>
      </c>
      <c r="D6" s="120">
        <f>PASSPORT!B5</f>
        <v>0</v>
      </c>
      <c r="E6" s="120" t="str">
        <f>IF(B6="","",B6-D6)</f>
        <v/>
      </c>
      <c r="F6" s="124">
        <f>IFERROR(B6/D6,0)</f>
        <v>0</v>
      </c>
      <c r="G6" s="125">
        <f t="shared" si="1"/>
        <v>0</v>
      </c>
      <c r="H6" s="126">
        <f t="shared" si="2"/>
        <v>0.9</v>
      </c>
      <c r="I6" s="125">
        <f>VLOOKUP(A6,BASE!F:G,2,FALSE())</f>
        <v>0.1</v>
      </c>
      <c r="J6" s="126">
        <f t="shared" si="3"/>
        <v>0</v>
      </c>
      <c r="K6" s="123" t="str">
        <f>IF(PASSPORT!B8="Normative",
IF(F6&gt;=0.9,"Age-appropriate",
IF(F6&gt;=0.75,"Mild delay",
IF(F6&gt;=0.5,"Moderate delay",
"Significant delay"))),
IF(F6&gt;=0.9,"Strong zone",
IF(F6&gt;=0.75,"Close to age",
IF(F6&gt;=0.5,"Development zone",
"Requires intensive support"))))</f>
        <v>Significant delay</v>
      </c>
      <c r="L6" s="128" t="str">
        <f>IF(PASSPORT!B8="Normative",
"Development corresponds to " &amp; TEXT(F6,"0%") &amp; " of the age norm.",
"Functional level is " &amp;B6 &amp; " months")</f>
        <v>Development corresponds to 0% of the age norm.</v>
      </c>
      <c r="M6" s="134" t="str">
        <f>IF(PASSPORT!B8="Normative", IF(F6&gt;=0.9,"The sphere """ &amp; A6 &amp; """ is developing within the age norm.", IF(F6&gt;=0.75,"A slight delay is noted in the sphere """ &amp; A6 &amp; """.", IF(F6&gt;=0.5,"The sphere """ &amp; A6 &amp; """ requires regular developmental work.", "The sphere """ &amp; A6 &amp; """ requires priority correctional support."))), IF(F6&gt;=0.9,"The sphere """ &amp; A6 &amp; """ is a strength.", IF(F6&gt;=0.75,"The sphere """ &amp; A6 &amp; """ is close to the age level.", IF(F6&gt;=0.5,"The sphere """ &amp; A6 &amp; """ is in the development zone.", "The sphere """ &amp; A6 &amp; """ requires additional support."))) ) &amp; " " &amp; IF(F6&gt;=0.9, "Continue to support development through play and daily activities.", IF(F6&gt;=0.75, VLOOKUP(A6,RECOMMENDATIONS!A:D,2,FALSE()), IF(F6&gt;=0.5, VLOOKUP(A6,RECOMMENDATIONS!A:D,3,FALSE()), VLOOKUP(A6,RECOMMENDATIONS!A:D,4,FALSE()) )))</f>
        <v>The sphere "Emotional" requires priority correctional support. Recommended: psychologist support</v>
      </c>
      <c r="N6">
        <v>0.9</v>
      </c>
    </row>
    <row r="7" spans="1:14" ht="39" customHeight="1" x14ac:dyDescent="0.35">
      <c r="A7" s="113" t="s">
        <v>34</v>
      </c>
      <c r="B7" s="118" t="str">
        <f>IFERROR(AVERAGEIFS(BASE!B:B,BASE!A:A,A7,BASE!C:C,1),"")</f>
        <v/>
      </c>
      <c r="C7" s="120" t="str">
        <f t="shared" si="0"/>
        <v/>
      </c>
      <c r="D7" s="120">
        <f>PASSPORT!B5</f>
        <v>0</v>
      </c>
      <c r="E7" s="120" t="str">
        <f>IF(B7="","",B7-D7)</f>
        <v/>
      </c>
      <c r="F7" s="124">
        <f>IFERROR(B7/D7,0)</f>
        <v>0</v>
      </c>
      <c r="G7" s="125">
        <f t="shared" si="1"/>
        <v>0</v>
      </c>
      <c r="H7" s="126">
        <f t="shared" si="2"/>
        <v>0.9</v>
      </c>
      <c r="I7" s="125">
        <f>VLOOKUP(A7,BASE!F:G,2,FALSE())</f>
        <v>0.1</v>
      </c>
      <c r="J7" s="126">
        <f t="shared" si="3"/>
        <v>0</v>
      </c>
      <c r="K7" s="123" t="str">
        <f>IF(PASSPORT!B8="Normative",
IF(F7&gt;=0.9,"Age-appropriate",
IF(F7&gt;=0.75,"Mild delay",
IF(F7&gt;=0.5,"Moderate delay",
"Significant delay"))),
IF(F7&gt;=0.9,"Strong zone",
IF(F7&gt;=0.75,"Close to age",
IF(F7&gt;=0.5,"Development zone",
"Requires intensive support"))))</f>
        <v>Significant delay</v>
      </c>
      <c r="L7" s="128" t="str">
        <f>IF(PASSPORT!B8="Normative",
"Development corresponds to " &amp; TEXT(F7,"0%") &amp; " of the age norm.",
"Functional level is " &amp;B7 &amp; " months")</f>
        <v>Development corresponds to 0% of the age norm.</v>
      </c>
      <c r="M7" s="134" t="str">
        <f>IF(PASSPORT!B8="Normative", IF(F7&gt;=0.9,"The sphere """ &amp; A7 &amp; """ is developing within the age norm.", IF(F7&gt;=0.75,"A slight delay is noted in the sphere """ &amp; A7 &amp; """.", IF(F7&gt;=0.5,"The sphere """ &amp; A7 &amp; """ requires regular developmental work.", "The sphere """ &amp; A7 &amp; """ requires priority correctional support."))), IF(F7&gt;=0.9,"The sphere """ &amp; A7 &amp; """ is a strength.", IF(F7&gt;=0.75,"The sphere """ &amp; A7 &amp; """ is close to the age level.", IF(F7&gt;=0.5,"The sphere """ &amp; A7 &amp; """ is in the development zone.", "The sphere """ &amp; A7 &amp; """ requires additional support."))) ) &amp; " " &amp; IF(F7&gt;=0.9, "Continue to support development through play and daily activities.", IF(F7&gt;=0.75, VLOOKUP(A7,RECOMMENDATIONS!A:D,2,FALSE()), IF(F7&gt;=0.5, VLOOKUP(A7,RECOMMENDATIONS!A:D,3,FALSE()), VLOOKUP(A7,RECOMMENDATIONS!A:D,4,FALSE()) )))</f>
        <v>The sphere "Social" requires priority correctional support. Recommended: specialist support</v>
      </c>
      <c r="N7">
        <v>0.9</v>
      </c>
    </row>
    <row r="8" spans="1:14" ht="51" customHeight="1" x14ac:dyDescent="0.35">
      <c r="A8" s="113" t="s">
        <v>35</v>
      </c>
      <c r="B8" s="118">
        <v>0</v>
      </c>
      <c r="C8" s="120">
        <f t="shared" si="0"/>
        <v>0</v>
      </c>
      <c r="D8" s="120">
        <f>PASSPORT!B5</f>
        <v>0</v>
      </c>
      <c r="E8" s="123">
        <f>IF(B8="","",B8-D8)</f>
        <v>0</v>
      </c>
      <c r="F8" s="124">
        <f>IFERROR(B8/D8,0)</f>
        <v>0</v>
      </c>
      <c r="G8" s="125">
        <f t="shared" si="1"/>
        <v>0</v>
      </c>
      <c r="H8" s="126">
        <f t="shared" si="2"/>
        <v>0.9</v>
      </c>
      <c r="I8" s="125">
        <f>VLOOKUP(A8,BASE!F:G,2,FALSE())</f>
        <v>0.1</v>
      </c>
      <c r="J8" s="126">
        <f t="shared" si="3"/>
        <v>0</v>
      </c>
      <c r="K8" s="123" t="str">
        <f>IF(PASSPORT!B8="Normative",
IF(F8&gt;=0.9,"Age-appropriate",
IF(F8&gt;=0.75,"Mild delay",
IF(F8&gt;=0.5,"Moderate delay",
"Significant delay"))),
IF(F8&gt;=0.9,"Strong zone",
IF(F8&gt;=0.75,"Close to age",
IF(F8&gt;=0.5,"Development zone",
"Requires intensive support"))))</f>
        <v>Significant delay</v>
      </c>
      <c r="L8" s="128" t="str">
        <f>IF(PASSPORT!B8="Normative",
"Development corresponds to " &amp; TEXT(F8,"0%") &amp; " of the age norm.",
"Functional level is " &amp;B8 &amp; " months")</f>
        <v>Development corresponds to 0% of the age norm.</v>
      </c>
      <c r="M8" s="134" t="str">
        <f>IF(PASSPORT!B8="Normative", IF(F8&gt;=0.9,"The sphere """ &amp; A8 &amp; """ is developing within the age norm.", IF(F8&gt;=0.75,"A slight delay is noted in the sphere """ &amp; A8 &amp; """.", IF(F8&gt;=0.5,"The sphere """ &amp; A8 &amp; """ requires regular developmental work.", "The sphere """ &amp; A8 &amp; """ requires priority correctional support."))), IF(F8&gt;=0.9,"The sphere """ &amp; A8 &amp; """ is a strength.", IF(F8&gt;=0.75,"The sphere """ &amp; A8 &amp; """ is close to the age level.", IF(F8&gt;=0.5,"The sphere """ &amp; A8 &amp; """ is in the development zone.", "The sphere """ &amp; A8 &amp; """ requires additional support."))) ) &amp; " " &amp; IF(F8&gt;=0.9, "Continue to support development through play and daily activities.", IF(F8&gt;=0.75, VLOOKUP(A8,RECOMMENDATIONS!A:D,2,FALSE()), IF(F8&gt;=0.5, VLOOKUP(A8,RECOMMENDATIONS!A:D,3,FALSE()), VLOOKUP(A8,RECOMMENDATIONS!A:D,4,FALSE()) )))</f>
        <v>The sphere "Self-Care" requires priority correctional support. Recommended: daily support</v>
      </c>
      <c r="N8">
        <v>0.9</v>
      </c>
    </row>
    <row r="9" spans="1:14" ht="123.75" customHeight="1" x14ac:dyDescent="0.35">
      <c r="A9" s="60" t="s">
        <v>300</v>
      </c>
      <c r="B9" s="118">
        <f>AVERAGE(B2:B8)</f>
        <v>0</v>
      </c>
      <c r="C9" s="121">
        <f>B9/12</f>
        <v>0</v>
      </c>
      <c r="D9" s="120" t="s">
        <v>301</v>
      </c>
      <c r="E9" s="120">
        <f>MIN(B2:B8)</f>
        <v>0</v>
      </c>
      <c r="F9" s="124" t="s">
        <v>302</v>
      </c>
      <c r="G9" s="120">
        <f>MAX(B2:B8)</f>
        <v>0</v>
      </c>
      <c r="H9" s="127"/>
      <c r="I9" s="127"/>
      <c r="J9" s="127"/>
      <c r="K9" s="129" t="str">
        <f>"The child's functional developmental level corresponds approximately to the range of " &amp; E9 &amp; "–" &amp; G9 &amp; " months."</f>
        <v>The child's functional developmental level corresponds approximately to the range of 0–0 months.</v>
      </c>
      <c r="L9" s="130" t="str">
        <f>IF(PASSPORT!B8="Normative",
"The average development level is " &amp; TEXT(B10,"0%") &amp;
". Key strength: " &amp; B11 &amp;
". Primary area of focus: " &amp; B12 &amp;
". Variance between areas: " &amp; TEXT(B13,"0%") &amp;
". Risk level: " &amp; B30 &amp; ".",
"The functional development profile shows that the most prominent area is " &amp; B11 &amp;
". Main support zone: " &amp; B12 &amp;
". It is recommended to build development through existing strengths." &amp; " This means that progress is achievable with the right support.")</f>
        <v>The average development level is 0%. Key strength: Gross Motor. Primary area of focus: Gross Motor. Variance between areas: 0%. Risk level: High risk of developmental delay.</v>
      </c>
      <c r="M9" s="135" t="s">
        <v>303</v>
      </c>
    </row>
    <row r="10" spans="1:14" ht="69.75" customHeight="1" x14ac:dyDescent="0.35">
      <c r="A10" s="59" t="s">
        <v>239</v>
      </c>
      <c r="B10" s="119">
        <f>SUM(J2:J8)</f>
        <v>0</v>
      </c>
      <c r="C10" s="122"/>
      <c r="E10" s="116"/>
      <c r="K10" s="131" t="str">
        <f>"The difference between chronological age and the level of development is approximately " &amp; TEXT(B14,"0,0") &amp; " years."</f>
        <v>The difference between chronological age and the level of development is approximately 0,0 years.</v>
      </c>
      <c r="L10" s="132" t="str">
        <f>IF(B13&lt;0.15,"Development is relatively harmonious", IF(B13&lt;0.3,"Moderate asynchrony", "Significant profile asynchrony"))</f>
        <v>Development is relatively harmonious</v>
      </c>
    </row>
    <row r="11" spans="1:14" ht="15" customHeight="1" x14ac:dyDescent="0.35">
      <c r="A11" s="59" t="s">
        <v>304</v>
      </c>
      <c r="B11" s="59" t="str">
        <f>INDEX(A2:A8,MATCH(MAX(F2:F8),F2:F8,0))</f>
        <v>Gross Motor</v>
      </c>
      <c r="C11" s="61"/>
      <c r="E11" t="s">
        <v>305</v>
      </c>
    </row>
    <row r="12" spans="1:14" ht="33.75" customHeight="1" x14ac:dyDescent="0.35">
      <c r="A12" s="59" t="s">
        <v>306</v>
      </c>
      <c r="B12" s="59" t="str">
        <f>INDEX(A2:A8,MATCH(MIN(F2:F8),F2:F8,0))</f>
        <v>Gross Motor</v>
      </c>
      <c r="C12" s="61"/>
      <c r="E12" s="59" t="s">
        <v>307</v>
      </c>
      <c r="F12" s="62" t="s">
        <v>308</v>
      </c>
      <c r="G12" s="59" t="s">
        <v>203</v>
      </c>
      <c r="H12" s="61"/>
      <c r="I12" s="61"/>
      <c r="J12" s="61"/>
    </row>
    <row r="13" spans="1:14" ht="22.5" customHeight="1" x14ac:dyDescent="0.35">
      <c r="A13" s="59" t="s">
        <v>309</v>
      </c>
      <c r="B13" s="128">
        <f>MAX(F2:F8)-MIN(F2:F8)</f>
        <v>0</v>
      </c>
      <c r="C13" s="63"/>
      <c r="E13" s="81" t="s">
        <v>310</v>
      </c>
      <c r="F13" s="82" t="s">
        <v>311</v>
      </c>
      <c r="G13" s="81" t="s">
        <v>312</v>
      </c>
      <c r="H13" s="61"/>
      <c r="I13" s="61"/>
      <c r="J13" s="61"/>
    </row>
    <row r="14" spans="1:14" ht="33.75" customHeight="1" x14ac:dyDescent="0.35">
      <c r="A14" s="59" t="s">
        <v>313</v>
      </c>
      <c r="B14" s="136">
        <f>(PASSPORT!B5-B9)/12</f>
        <v>0</v>
      </c>
      <c r="C14" s="61"/>
      <c r="E14" s="83" t="s">
        <v>314</v>
      </c>
      <c r="F14" s="84" t="s">
        <v>315</v>
      </c>
      <c r="G14" s="83" t="s">
        <v>316</v>
      </c>
      <c r="H14" s="61"/>
      <c r="I14" s="61"/>
      <c r="J14" s="61"/>
    </row>
    <row r="15" spans="1:14" ht="33.75" customHeight="1" x14ac:dyDescent="0.35">
      <c r="A15" s="59" t="s">
        <v>317</v>
      </c>
      <c r="B15" s="59" t="str">
        <f>INDEX(A2:A8,MATCH(MIN(F2:F8),F2:F8,0))</f>
        <v>Gross Motor</v>
      </c>
      <c r="C15" s="61"/>
      <c r="D15" s="64"/>
      <c r="E15" s="85" t="s">
        <v>318</v>
      </c>
      <c r="F15" s="86" t="s">
        <v>319</v>
      </c>
      <c r="G15" s="85" t="s">
        <v>320</v>
      </c>
      <c r="H15" s="61"/>
      <c r="I15" s="61"/>
      <c r="J15" s="61"/>
    </row>
    <row r="16" spans="1:14" ht="45" customHeight="1" x14ac:dyDescent="0.35">
      <c r="A16" s="59" t="s">
        <v>321</v>
      </c>
      <c r="B16" s="59" t="str">
        <f>IF(B11="Gross Motor","Motor development profile",
IF(B11="Fine motor skills","Motor development profile",
IF(B11="Speech","Communicative profile",
IF(B11="Cognitive","Cognitive profile",
IF(B11="Emotional","Emotional-social profile",
IF(B11="Social","Social profile",
IF(B11="Self-Care","Self-care skills as a leading domain")))))))</f>
        <v>Motor development profile</v>
      </c>
      <c r="E16" s="87" t="s">
        <v>322</v>
      </c>
      <c r="F16" s="88" t="s">
        <v>323</v>
      </c>
      <c r="G16" s="87" t="s">
        <v>324</v>
      </c>
      <c r="H16" s="61"/>
      <c r="I16" s="61"/>
      <c r="J16" s="61"/>
    </row>
    <row r="17" spans="1:13" ht="22.5" customHeight="1" x14ac:dyDescent="0.35">
      <c r="A17" s="59" t="s">
        <v>325</v>
      </c>
      <c r="B17" s="65" t="str">
        <f>IF(B16="Motor development profile",
"The child learns skills better through movement and actions. Use physical activity for teaching.",
IF(B16="Communicative profile",
"The child actively responds to speech and interaction. Development is best built through dialogue and cooperative games.",
IF(B16="Cognitive profile",
"The child responds well to tasks, exploration, and cognitive games.",
IF(B16="Emotional-social profile",
"Emotional contact is the child's strength. Use shared activities and emotions for teaching.",
IF(B16="Social profile",
"Self-care skills are developing relatively better than other areas.")))))</f>
        <v>The child learns skills better through movement and actions. Use physical activity for teaching.</v>
      </c>
      <c r="H17" s="61"/>
      <c r="I17" s="61"/>
      <c r="J17" s="61"/>
    </row>
    <row r="18" spans="1:13" ht="22.5" customHeight="1" x14ac:dyDescent="0.35">
      <c r="A18" s="59" t="s">
        <v>230</v>
      </c>
      <c r="B18" s="65" t="str">
        <f>IF(B16="Motor development profile",
"Learning through movement: object play, exercises, and active tasks.",
IF(B16="Communicative profile",
"Use conversation, shared reading, discussion, and dialogue.",
IF(B16="Cognitive profile",
"Use problem-solving, sorting, puzzles, and exploratory play.",
IF(B16="Emotional-social profile",
"Use emotional interaction, joint play, and role-play scenarios.",
IF(B16="Social profile",
"Train life skills through daily activities.")))))</f>
        <v>Learning through movement: object play, exercises, and active tasks.</v>
      </c>
      <c r="E18" s="61"/>
      <c r="F18" s="61"/>
      <c r="G18" s="61"/>
      <c r="H18" s="61"/>
      <c r="I18" s="61"/>
      <c r="J18" s="61"/>
    </row>
    <row r="19" spans="1:13" ht="22.5" customHeight="1" x14ac:dyDescent="0.35">
      <c r="A19" s="59" t="s">
        <v>326</v>
      </c>
      <c r="B19" s="65" t="str">
        <f>IF(B10&gt;=0.9,"Developmental pace meets age-appropriate norms",
IF(B10&gt;=0.75,"Developmental pace is slightly delayed",
IF(B10&gt;=0.5,"Developmental pace is significantly delayed",
IF(B10&lt;0.5,"Developmental pace is severely delayed"))))</f>
        <v>Developmental pace is severely delayed</v>
      </c>
      <c r="E19" s="61"/>
      <c r="F19" s="61"/>
      <c r="G19" s="61"/>
      <c r="H19" s="61"/>
      <c r="I19" s="61"/>
      <c r="J19" s="61"/>
    </row>
    <row r="20" spans="1:13" ht="23.25" customHeight="1" x14ac:dyDescent="0.35">
      <c r="A20" s="59" t="s">
        <v>327</v>
      </c>
      <c r="B20" s="65" t="str">
        <f>IF(B10&gt;=0.9,"Development meets age-appropriate expectations.",
IF(B10&gt;=0.75,"Skills can be quickly aligned with regular support.",
IF(B10&gt;=0.5,"Systemic developmental work is required.",
IF(B10&lt;0.5,"Comprehensive correctional support is recommended."))))</f>
        <v>Comprehensive correctional support is recommended.</v>
      </c>
      <c r="E20" s="61"/>
      <c r="F20" s="61"/>
      <c r="G20" s="61"/>
      <c r="H20" s="61"/>
      <c r="I20" s="61"/>
      <c r="J20" s="61"/>
    </row>
    <row r="21" spans="1:13" ht="15" customHeight="1" x14ac:dyDescent="0.35">
      <c r="A21" s="61" t="s">
        <v>328</v>
      </c>
      <c r="B21" s="66" t="str">
        <f>IFERROR(
INDEX(A2:A8,MATCH(MAX(IF((E2:E8&gt;=0.5)*(E2:E8&lt;0.75),E2:E8)),E2:E8,0)),
INDEX(A2:A8,MATCH(MAX(E2:E8),E2:E8,0))
)</f>
        <v>Self-Care</v>
      </c>
      <c r="C21" s="66" t="str">
        <f>"Zone of Proximal Development: " &amp; B21 &amp;
". Developing this area can yield the greatest progress in the near future."</f>
        <v>Zone of Proximal Development: Self-Care. Developing this area can yield the greatest progress in the near future.</v>
      </c>
      <c r="D21" s="61"/>
      <c r="E21" s="61"/>
      <c r="F21" s="61"/>
      <c r="G21" s="61"/>
      <c r="H21" s="61"/>
      <c r="I21" s="61"/>
      <c r="J21" s="61"/>
      <c r="K21" s="61"/>
      <c r="L21" s="61"/>
      <c r="M21" s="61"/>
    </row>
    <row r="22" spans="1:13" ht="15" customHeight="1" x14ac:dyDescent="0.35">
      <c r="A22" s="61" t="s">
        <v>329</v>
      </c>
      <c r="B22" s="66" t="str">
        <f>IF(B10&gt;=0.9,"high",
IF(B10&gt;=0.75,"average",
"basic"))</f>
        <v>basic</v>
      </c>
      <c r="C22" s="66"/>
      <c r="D22" s="61"/>
      <c r="E22" s="61"/>
      <c r="F22" s="61"/>
      <c r="G22" s="61"/>
      <c r="H22" s="61"/>
      <c r="I22" s="61"/>
      <c r="J22" s="61"/>
      <c r="K22" s="61"/>
      <c r="L22" s="61"/>
      <c r="M22" s="61"/>
    </row>
    <row r="23" spans="1:13" ht="33.75" customHeight="1" x14ac:dyDescent="0.35">
      <c r="A23" s="61" t="s">
        <v>330</v>
      </c>
      <c r="B23" s="66">
        <f>STDEV(F2:F8)</f>
        <v>0</v>
      </c>
      <c r="C23" s="66"/>
      <c r="D23" s="61"/>
      <c r="E23" s="61"/>
      <c r="F23" s="61"/>
      <c r="G23" s="61"/>
      <c r="H23" s="61"/>
      <c r="I23" s="61"/>
      <c r="J23" s="61"/>
      <c r="K23" s="61"/>
      <c r="L23" s="61"/>
      <c r="M23" s="61"/>
    </row>
    <row r="24" spans="1:13" ht="15" customHeight="1" x14ac:dyDescent="0.35">
      <c r="A24" s="61" t="s">
        <v>38</v>
      </c>
      <c r="B24" s="66" t="str">
        <f>IF(B23&lt;0.15,"Relatively harmonious development",
IF(B23&lt;0.3,"Moderate developmental asynchrony",
IF(B23&gt;0.3,"Significant developmental asynchrony")))</f>
        <v>Relatively harmonious development</v>
      </c>
      <c r="C24" s="66"/>
      <c r="D24" s="61"/>
      <c r="E24" s="61"/>
      <c r="F24" s="61"/>
      <c r="G24" s="61"/>
      <c r="H24" s="61"/>
      <c r="I24" s="61"/>
      <c r="J24" s="61"/>
      <c r="K24" s="61"/>
      <c r="L24" s="61"/>
      <c r="M24" s="61"/>
    </row>
    <row r="25" spans="1:13" ht="33.75" customHeight="1" x14ac:dyDescent="0.35">
      <c r="A25" s="61" t="s">
        <v>331</v>
      </c>
      <c r="B25" s="137">
        <f>MAX(F2:F8)-AVERAGE(F2:F8)</f>
        <v>0</v>
      </c>
      <c r="C25" s="66" t="str">
        <f>IF(B25&gt;0.25,"High compensatory potential",
IF(B25&gt;0.1,"Moderate compensatory potential",
"Low compensatory potential"))</f>
        <v>Low compensatory potential</v>
      </c>
      <c r="D25" s="61"/>
      <c r="E25" s="61"/>
      <c r="F25" s="61"/>
      <c r="G25" s="61"/>
      <c r="H25" s="61"/>
      <c r="I25" s="61"/>
      <c r="J25" s="61"/>
      <c r="K25" s="61"/>
      <c r="L25" s="61"/>
      <c r="M25" s="61"/>
    </row>
    <row r="26" spans="1:13" ht="33.75" customHeight="1" x14ac:dyDescent="0.35">
      <c r="A26" s="61" t="s">
        <v>332</v>
      </c>
      <c r="B26" s="137">
        <f>AVERAGE(F3,F7,F8)</f>
        <v>0</v>
      </c>
      <c r="C26" s="66"/>
      <c r="D26" s="61"/>
      <c r="E26" s="61"/>
      <c r="F26" s="61"/>
      <c r="G26" s="61"/>
      <c r="H26" s="61"/>
      <c r="I26" s="61"/>
      <c r="J26" s="61"/>
      <c r="K26" s="61"/>
      <c r="L26" s="61"/>
      <c r="M26" s="61"/>
    </row>
    <row r="27" spans="1:13" ht="22.5" customHeight="1" x14ac:dyDescent="0.35">
      <c r="A27" s="61" t="s">
        <v>333</v>
      </c>
      <c r="B27" s="66" t="str">
        <f>IF(B26&gt;=0.8,"High level of functional independence",
IF(B26&gt;=0.6,"Average level of functional independence",
IF(B26&gt;=0.4,"Low level of functional independence",
"Significant support required")))</f>
        <v>Significant support required</v>
      </c>
      <c r="C27" s="66"/>
      <c r="D27" s="61"/>
      <c r="E27" s="61"/>
      <c r="F27" s="61"/>
      <c r="G27" s="61"/>
      <c r="H27" s="61"/>
      <c r="I27" s="61"/>
      <c r="J27" s="61"/>
      <c r="K27" s="61"/>
      <c r="L27" s="61"/>
      <c r="M27" s="61"/>
    </row>
    <row r="28" spans="1:13" ht="22.5" customHeight="1" x14ac:dyDescent="0.35">
      <c r="A28" s="61" t="s">
        <v>334</v>
      </c>
      <c r="B28" s="138">
        <f>COUNTIF(F2:F8,"&lt;0,75")</f>
        <v>7</v>
      </c>
      <c r="C28" s="66"/>
      <c r="D28" s="61"/>
      <c r="E28" s="61"/>
      <c r="F28" s="61"/>
      <c r="G28" s="61"/>
      <c r="H28" s="61"/>
      <c r="I28" s="61"/>
      <c r="J28" s="61"/>
      <c r="K28" s="61"/>
      <c r="L28" s="61"/>
      <c r="M28" s="61"/>
    </row>
    <row r="29" spans="1:13" ht="22.5" customHeight="1" x14ac:dyDescent="0.35">
      <c r="A29" s="61" t="s">
        <v>335</v>
      </c>
      <c r="B29" s="138" t="str">
        <f>IF(B28&lt;=2,"Recommended workload: 20–30 minutes of sessions per day",
IF(B28&lt;=4,"Recommended workload: 40–60 minutes of sessions per day",
"Recommended workload: 60–90 minutes of sessions per day"))</f>
        <v>Recommended workload: 60–90 minutes of sessions per day</v>
      </c>
      <c r="C29" s="66"/>
      <c r="D29" s="61"/>
      <c r="E29" s="61"/>
      <c r="F29" s="61"/>
      <c r="G29" s="61"/>
      <c r="H29" s="61"/>
      <c r="I29" s="61"/>
      <c r="J29" s="61"/>
      <c r="K29" s="61"/>
      <c r="L29" s="61"/>
      <c r="M29" s="61"/>
    </row>
    <row r="30" spans="1:13" ht="15" customHeight="1" x14ac:dyDescent="0.35">
      <c r="A30" s="61" t="s">
        <v>336</v>
      </c>
      <c r="B30" s="137" t="str">
        <f>IF(B10&gt;=0.9,"Low risk of developmental delay",
IF(B10&gt;=0.75,"Slight risk of delay",
IF(B10&gt;=0.5,"Increased risk of delay",
IF(B10&lt;0.5,"High risk of developmental delay"))))</f>
        <v>High risk of developmental delay</v>
      </c>
      <c r="C30" s="66"/>
      <c r="D30" s="61"/>
      <c r="E30" s="61"/>
      <c r="F30" s="61"/>
      <c r="G30" s="61"/>
      <c r="H30" s="61"/>
      <c r="I30" s="61"/>
      <c r="J30" s="61"/>
      <c r="K30" s="61"/>
      <c r="L30" s="61"/>
      <c r="M30" s="61"/>
    </row>
    <row r="31" spans="1:13" ht="15" customHeight="1" x14ac:dyDescent="0.35">
      <c r="A31" s="61" t="s">
        <v>222</v>
      </c>
      <c r="B31" s="137" t="str">
        <f>IF(B10&gt;=0.75,"Development can be supported through home-based activities",
IF(B10&gt;=0.5,"Consultation with a specialist is recommended",
"Comprehensive correctional assistance is recommended"))</f>
        <v>Comprehensive correctional assistance is recommended</v>
      </c>
      <c r="C31" s="66"/>
      <c r="D31" s="61"/>
      <c r="E31" s="61"/>
      <c r="F31" s="61"/>
      <c r="G31" s="61"/>
      <c r="H31" s="61"/>
      <c r="I31" s="61"/>
      <c r="J31" s="61"/>
      <c r="K31" s="61"/>
      <c r="L31" s="61"/>
      <c r="M31" s="61"/>
    </row>
    <row r="32" spans="1:13" ht="25.5" customHeight="1" x14ac:dyDescent="0.35">
      <c r="A32" s="61" t="s">
        <v>249</v>
      </c>
      <c r="B32" s="137" t="str">
        <f>IFERROR(VLOOKUP(B15,SPECIALISTS!A:B,2,FALSE()),"—")</f>
        <v>Physiotherapist / PT</v>
      </c>
      <c r="C32" s="66"/>
      <c r="D32" s="61"/>
      <c r="E32" s="61"/>
      <c r="F32" s="61"/>
      <c r="G32" s="61"/>
      <c r="H32" s="61"/>
      <c r="I32" s="61"/>
      <c r="J32" s="61"/>
      <c r="K32" s="61"/>
      <c r="L32" s="61"/>
      <c r="M32" s="61"/>
    </row>
    <row r="33" spans="1:4" ht="27" customHeight="1" x14ac:dyDescent="0.35">
      <c r="A33" s="61" t="s">
        <v>250</v>
      </c>
      <c r="B33" s="137" t="str">
        <f>IFERROR(VLOOKUP(B15,SPECIALISTS!A:C,3,FALSE()),"—")</f>
        <v>Therapeutic exercise, physiotherapy</v>
      </c>
    </row>
    <row r="34" spans="1:4" ht="27" customHeight="1" x14ac:dyDescent="0.35">
      <c r="A34" s="61"/>
      <c r="B34" s="61"/>
    </row>
    <row r="35" spans="1:4" ht="22.5" customHeight="1" x14ac:dyDescent="0.35">
      <c r="A35" s="203" t="s">
        <v>337</v>
      </c>
      <c r="B35" s="204"/>
      <c r="C35" s="67"/>
      <c r="D35" s="68"/>
    </row>
    <row r="36" spans="1:4" ht="22.5" customHeight="1" x14ac:dyDescent="0.35">
      <c r="A36" s="59" t="s">
        <v>338</v>
      </c>
      <c r="B36" s="59" t="s">
        <v>339</v>
      </c>
      <c r="C36" s="61"/>
      <c r="D36" s="69"/>
    </row>
    <row r="37" spans="1:4" ht="15" customHeight="1" x14ac:dyDescent="0.35">
      <c r="A37" s="70">
        <v>46114</v>
      </c>
      <c r="B37" s="59">
        <v>6.4000000000000001E-2</v>
      </c>
      <c r="C37" s="61"/>
    </row>
    <row r="38" spans="1:4" ht="15" customHeight="1" x14ac:dyDescent="0.35">
      <c r="A38" s="59"/>
      <c r="B38" s="59" t="s">
        <v>340</v>
      </c>
      <c r="C38" s="61"/>
    </row>
    <row r="39" spans="1:4" ht="15" customHeight="1" x14ac:dyDescent="0.35">
      <c r="A39" s="59"/>
      <c r="B39" s="59" t="s">
        <v>340</v>
      </c>
      <c r="C39" s="61"/>
    </row>
    <row r="40" spans="1:4" ht="15" customHeight="1" x14ac:dyDescent="0.35">
      <c r="A40" s="59"/>
      <c r="B40" s="59" t="s">
        <v>340</v>
      </c>
      <c r="C40" s="61"/>
    </row>
    <row r="41" spans="1:4" ht="15" customHeight="1" x14ac:dyDescent="0.35">
      <c r="A41" s="59"/>
      <c r="B41" s="59" t="s">
        <v>340</v>
      </c>
      <c r="C41" s="61"/>
    </row>
    <row r="43" spans="1:4" ht="21.75" customHeight="1" x14ac:dyDescent="0.35">
      <c r="A43" s="61" t="s">
        <v>341</v>
      </c>
      <c r="B43" s="122" t="str">
        <f>IFERROR(INDEX(A2:A8,MATCH(SMALL(F2:F8,2),F2:F8,0)),"")</f>
        <v>Gross Motor</v>
      </c>
      <c r="C43" s="61"/>
      <c r="D43" s="61"/>
    </row>
    <row r="44" spans="1:4" ht="21" customHeight="1" x14ac:dyDescent="0.35">
      <c r="A44" s="61" t="s">
        <v>342</v>
      </c>
      <c r="B44" s="122" t="str">
        <f>IFERROR(INDEX(A2:A8,MATCH(SMALL(F2:F8,3),F2:F8,0)),"")</f>
        <v>Gross Motor</v>
      </c>
      <c r="C44" s="61"/>
      <c r="D44" s="61"/>
    </row>
    <row r="45" spans="1:4" ht="24" customHeight="1" x14ac:dyDescent="0.35">
      <c r="A45" s="61" t="s">
        <v>343</v>
      </c>
      <c r="B45" s="122" t="str">
        <f>NEUROFUNCTIONS!C9</f>
        <v>Motor control</v>
      </c>
      <c r="C45" s="61"/>
      <c r="D45" s="61"/>
    </row>
    <row r="46" spans="1:4" ht="25.5" customHeight="1" x14ac:dyDescent="0.35">
      <c r="A46" s="61" t="s">
        <v>344</v>
      </c>
      <c r="B46" s="122" t="str">
        <f>SENSORY!C9</f>
        <v>Vision</v>
      </c>
      <c r="C46" s="61"/>
      <c r="D46" s="61"/>
    </row>
    <row r="47" spans="1:4" ht="34.5" customHeight="1" x14ac:dyDescent="0.35">
      <c r="A47" s="61" t="s">
        <v>345</v>
      </c>
      <c r="B47" s="137" t="str">
        <f>CAUSES!C9</f>
        <v>Possible motor cause of delay; Possible communicative cause of delay; Possible cognitive cause of delay; Possible emotional cause of delay; Possible adaptive cause of delay</v>
      </c>
      <c r="C47" s="61"/>
      <c r="D47" s="61"/>
    </row>
  </sheetData>
  <sheetProtection algorithmName="SHA-512" hashValue="by2H3ASrHqPKzYenNShK4pY9tl5dBZBuHhMvadTi/3PFxv7SGVgDnT9zHPvvU4fNO/MbL9YLL7W1ZZh4AVpCxg==" saltValue="a9oF9Nd/ANkg/us+FXUGDw==" spinCount="100000" sheet="1" objects="1" scenarios="1" selectLockedCells="1" selectUnlockedCells="1"/>
  <mergeCells count="1">
    <mergeCell ref="A35:B35"/>
  </mergeCells>
  <conditionalFormatting sqref="K2:K8">
    <cfRule type="containsText" dxfId="11" priority="2" operator="containsText" text="Age-appropriate">
      <formula>NOT(ISERROR(SEARCH("Age-appropriate",K2)))</formula>
    </cfRule>
    <cfRule type="containsText" dxfId="10" priority="3" operator="containsText" text="Mild delay">
      <formula>NOT(ISERROR(SEARCH("Mild delay",K2)))</formula>
    </cfRule>
    <cfRule type="containsText" dxfId="9" priority="4" operator="containsText" text="Moderate delay">
      <formula>NOT(ISERROR(SEARCH("Moderate delay",K2)))</formula>
    </cfRule>
    <cfRule type="containsText" dxfId="8" priority="5" operator="containsText" text="Significant delay">
      <formula>NOT(ISERROR(SEARCH("Significant delay",K2)))</formula>
    </cfRule>
    <cfRule type="containsText" dxfId="7" priority="6" operator="containsText" text="Strong zone">
      <formula>NOT(ISERROR(SEARCH("Strong zone",K2)))</formula>
    </cfRule>
    <cfRule type="containsText" dxfId="6" priority="7" operator="containsText" text="Close to age">
      <formula>NOT(ISERROR(SEARCH("Close to age",K2)))</formula>
    </cfRule>
    <cfRule type="containsText" dxfId="5" priority="8" operator="containsText" text="Development zone">
      <formula>NOT(ISERROR(SEARCH("Development zone",K2)))</formula>
    </cfRule>
    <cfRule type="containsText" dxfId="4" priority="9" operator="containsText" text="Requires intensive support">
      <formula>NOT(ISERROR(SEARCH("Requires intensive support",K2)))</formula>
    </cfRule>
  </conditionalFormatting>
  <conditionalFormatting sqref="F2:F8">
    <cfRule type="cellIs" dxfId="3" priority="10" operator="greaterThanOrEqual">
      <formula>0.9</formula>
    </cfRule>
    <cfRule type="cellIs" dxfId="2" priority="11" operator="greaterThanOrEqual">
      <formula>0.75</formula>
    </cfRule>
    <cfRule type="cellIs" dxfId="1" priority="12" operator="greaterThanOrEqual">
      <formula>0.5</formula>
    </cfRule>
    <cfRule type="cellIs" dxfId="0" priority="13" operator="lessThan">
      <formula>0.5</formula>
    </cfRule>
  </conditionalFormatting>
  <pageMargins left="0.75" right="0.75" top="1" bottom="1" header="0.511811023622047" footer="0.51180555555555596"/>
  <pageSetup paperSize="9" orientation="portrait" horizontalDpi="300" verticalDpi="300"/>
  <headerFooter>
    <oddFooter>&amp;C&amp;8 &amp;K888888© 2025 Rabiga Sagyndykova · LOLA System · Resale and redistribution prohibited&amp;R&amp;8 Стр. &amp;P из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16</vt:i4>
      </vt:variant>
      <vt:variant>
        <vt:lpstr>Именованные диапазоны</vt:lpstr>
      </vt:variant>
      <vt:variant>
        <vt:i4>2</vt:i4>
      </vt:variant>
    </vt:vector>
  </HeadingPairs>
  <TitlesOfParts>
    <vt:vector size="18" baseType="lpstr">
      <vt:lpstr>START</vt:lpstr>
      <vt:lpstr>GUIDE</vt:lpstr>
      <vt:lpstr>PASSPORT</vt:lpstr>
      <vt:lpstr>0-1</vt:lpstr>
      <vt:lpstr>RESULTS</vt:lpstr>
      <vt:lpstr>REPORT</vt:lpstr>
      <vt:lpstr>DEV PLAN</vt:lpstr>
      <vt:lpstr>BASE</vt:lpstr>
      <vt:lpstr>PROFILE</vt:lpstr>
      <vt:lpstr>dev profile</vt:lpstr>
      <vt:lpstr>EXERCISES</vt:lpstr>
      <vt:lpstr>RECOMMENDATIONS</vt:lpstr>
      <vt:lpstr>SPECIALISTS</vt:lpstr>
      <vt:lpstr>NEUROFUNCTIONS</vt:lpstr>
      <vt:lpstr>SENSORY</vt:lpstr>
      <vt:lpstr>CAUSES</vt:lpstr>
      <vt:lpstr>EXERCISES!_GoBack</vt:lpstr>
      <vt:lpstr>Физика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openpyxl</dc:creator>
  <cp:lastModifiedBy>Asus</cp:lastModifiedBy>
  <cp:revision>14</cp:revision>
  <dcterms:created xsi:type="dcterms:W3CDTF">2006-09-28T05:33:49Z</dcterms:created>
  <dcterms:modified xsi:type="dcterms:W3CDTF">2026-08-27T08:32:07Z</dcterms:modified>
  <dc:language>en-US</dc:language>
</cp:coreProperties>
</file>